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Korisnik\Desktop\TZ\Skupštine i vijeća\Rebalans 2025 i plan za 2026\"/>
    </mc:Choice>
  </mc:AlternateContent>
  <xr:revisionPtr revIDLastSave="0" documentId="13_ncr:1_{B80E4C18-67BF-4607-BBB2-F05132BFC7D0}" xr6:coauthVersionLast="47" xr6:coauthVersionMax="47" xr10:uidLastSave="{00000000-0000-0000-0000-000000000000}"/>
  <bookViews>
    <workbookView xWindow="-108" yWindow="-108" windowWidth="23256" windowHeight="12576" tabRatio="729" xr2:uid="{00000000-000D-0000-FFFF-FFFF00000000}"/>
  </bookViews>
  <sheets>
    <sheet name="Rebalans 2025" sheetId="1" r:id="rId1"/>
    <sheet name="prihodi" sheetId="2" r:id="rId2"/>
    <sheet name="istraživanje" sheetId="11" r:id="rId3"/>
    <sheet name="proizvod" sheetId="3" r:id="rId4"/>
    <sheet name="oglašavanje" sheetId="4" r:id="rId5"/>
    <sheet name="menadžment" sheetId="5" r:id="rId6"/>
    <sheet name="članstvo" sheetId="8" r:id="rId7"/>
    <sheet name="administrativni poslovi" sheetId="9" r:id="rId8"/>
    <sheet name="rezerva" sheetId="10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6" i="1"/>
  <c r="G44" i="1"/>
  <c r="G43" i="1"/>
  <c r="G42" i="1"/>
  <c r="G41" i="1"/>
  <c r="G40" i="1"/>
  <c r="G39" i="1"/>
  <c r="F14" i="1"/>
  <c r="F17" i="1"/>
  <c r="C13" i="9"/>
  <c r="B16" i="9"/>
  <c r="D5" i="4"/>
  <c r="S14" i="3"/>
  <c r="R14" i="3"/>
  <c r="P14" i="3"/>
  <c r="N14" i="3"/>
  <c r="L14" i="3"/>
  <c r="J14" i="3"/>
  <c r="I14" i="3"/>
  <c r="H14" i="3"/>
  <c r="G14" i="3"/>
  <c r="F14" i="3"/>
  <c r="E14" i="3"/>
  <c r="L7" i="2"/>
  <c r="P7" i="2"/>
  <c r="O7" i="2"/>
  <c r="H7" i="2"/>
  <c r="F7" i="2"/>
  <c r="E7" i="2"/>
  <c r="C11" i="2"/>
  <c r="B9" i="2"/>
  <c r="B3" i="9"/>
  <c r="B11" i="9"/>
  <c r="F11" i="3"/>
  <c r="B9" i="9"/>
  <c r="B5" i="9"/>
  <c r="F6" i="3"/>
  <c r="F5" i="3"/>
  <c r="F4" i="3"/>
  <c r="F3" i="3"/>
  <c r="B4" i="9"/>
  <c r="E67" i="1"/>
  <c r="E61" i="1"/>
  <c r="E58" i="1"/>
  <c r="E45" i="1"/>
  <c r="E32" i="1"/>
  <c r="F45" i="1" l="1"/>
  <c r="G45" i="1" s="1"/>
  <c r="G46" i="1"/>
  <c r="F12" i="1"/>
  <c r="F58" i="1" l="1"/>
  <c r="F6" i="1" l="1"/>
  <c r="F9" i="1"/>
  <c r="G74" i="1" l="1"/>
  <c r="G64" i="1"/>
  <c r="G63" i="1"/>
  <c r="G62" i="1"/>
  <c r="G53" i="1"/>
  <c r="G52" i="1"/>
  <c r="G51" i="1"/>
  <c r="G38" i="1"/>
  <c r="G37" i="1"/>
  <c r="G36" i="1"/>
  <c r="G35" i="1"/>
  <c r="G34" i="1"/>
  <c r="G33" i="1"/>
  <c r="F67" i="1" l="1"/>
  <c r="F69" i="1" s="1"/>
  <c r="F66" i="1" s="1"/>
  <c r="E69" i="1"/>
  <c r="E66" i="1" s="1"/>
  <c r="F61" i="1"/>
  <c r="F65" i="1" s="1"/>
  <c r="F32" i="1"/>
  <c r="F48" i="1" s="1"/>
  <c r="G10" i="1"/>
  <c r="G7" i="1"/>
  <c r="G5" i="1"/>
  <c r="G4" i="1"/>
  <c r="F3" i="1"/>
  <c r="G32" i="1" l="1"/>
  <c r="G16" i="1"/>
  <c r="F73" i="1" l="1"/>
  <c r="F56" i="1"/>
  <c r="F55" i="1"/>
  <c r="F76" i="1" l="1"/>
  <c r="F49" i="1"/>
  <c r="F70" i="1"/>
  <c r="F29" i="1"/>
  <c r="E70" i="1"/>
  <c r="H31" i="1" l="1"/>
  <c r="H26" i="1"/>
  <c r="H46" i="1"/>
  <c r="H47" i="1"/>
  <c r="H48" i="1"/>
  <c r="H59" i="1"/>
  <c r="G70" i="1"/>
  <c r="H29" i="1"/>
  <c r="H56" i="1"/>
  <c r="H24" i="1"/>
  <c r="H71" i="1"/>
  <c r="H67" i="1"/>
  <c r="H61" i="1"/>
  <c r="H55" i="1"/>
  <c r="H51" i="1"/>
  <c r="H45" i="1"/>
  <c r="H41" i="1"/>
  <c r="H38" i="1"/>
  <c r="H34" i="1"/>
  <c r="H70" i="1"/>
  <c r="H66" i="1"/>
  <c r="H64" i="1"/>
  <c r="H58" i="1"/>
  <c r="H50" i="1"/>
  <c r="H44" i="1"/>
  <c r="H33" i="1"/>
  <c r="H74" i="1"/>
  <c r="H54" i="1"/>
  <c r="H40" i="1"/>
  <c r="H28" i="1"/>
  <c r="H73" i="1"/>
  <c r="H69" i="1"/>
  <c r="H65" i="1"/>
  <c r="H63" i="1"/>
  <c r="H57" i="1"/>
  <c r="H53" i="1"/>
  <c r="H49" i="1"/>
  <c r="H43" i="1"/>
  <c r="H39" i="1"/>
  <c r="H36" i="1"/>
  <c r="H27" i="1"/>
  <c r="H72" i="1"/>
  <c r="H68" i="1"/>
  <c r="H60" i="1"/>
  <c r="H62" i="1"/>
  <c r="H52" i="1"/>
  <c r="H42" i="1"/>
  <c r="H35" i="1"/>
  <c r="H30" i="1"/>
  <c r="H37" i="1"/>
  <c r="H32" i="1"/>
  <c r="E65" i="1"/>
  <c r="E9" i="1"/>
  <c r="G65" i="1" l="1"/>
  <c r="G61" i="1"/>
  <c r="H76" i="1"/>
  <c r="E73" i="1"/>
  <c r="G73" i="1" s="1"/>
  <c r="E49" i="1"/>
  <c r="G49" i="1" s="1"/>
  <c r="E55" i="1"/>
  <c r="G55" i="1" s="1"/>
  <c r="E56" i="1" l="1"/>
  <c r="G56" i="1" s="1"/>
  <c r="E24" i="1"/>
  <c r="G6" i="1" l="1"/>
  <c r="E3" i="1" l="1"/>
  <c r="G3" i="1" s="1"/>
  <c r="E20" i="1" l="1"/>
  <c r="G14" i="1" l="1"/>
  <c r="E48" i="1"/>
  <c r="G48" i="1" s="1"/>
  <c r="E29" i="1"/>
  <c r="G29" i="1" s="1"/>
  <c r="E76" i="1" l="1"/>
  <c r="G76" i="1" s="1"/>
  <c r="G9" i="1"/>
  <c r="F20" i="1"/>
  <c r="H15" i="1" l="1"/>
  <c r="H19" i="1"/>
  <c r="H18" i="1"/>
  <c r="H10" i="1"/>
  <c r="H13" i="1"/>
  <c r="H5" i="1"/>
  <c r="H4" i="1"/>
  <c r="H8" i="1"/>
  <c r="H9" i="1"/>
  <c r="G20" i="1"/>
  <c r="H7" i="1"/>
  <c r="H12" i="1"/>
  <c r="H17" i="1"/>
  <c r="H16" i="1"/>
  <c r="H14" i="1"/>
  <c r="H3" i="1"/>
  <c r="H11" i="1"/>
  <c r="H6" i="1"/>
  <c r="H20" i="1" l="1"/>
</calcChain>
</file>

<file path=xl/sharedStrings.xml><?xml version="1.0" encoding="utf-8"?>
<sst xmlns="http://schemas.openxmlformats.org/spreadsheetml/2006/main" count="200" uniqueCount="133">
  <si>
    <t>PRIHODI</t>
  </si>
  <si>
    <t>1.</t>
  </si>
  <si>
    <t>Izvorni prihodi</t>
  </si>
  <si>
    <t>Turistička pristojba</t>
  </si>
  <si>
    <t>Članarina</t>
  </si>
  <si>
    <t xml:space="preserve">2. </t>
  </si>
  <si>
    <t>2.1.</t>
  </si>
  <si>
    <t>3.</t>
  </si>
  <si>
    <t xml:space="preserve">Prihodi od sustava turističkih zajednica </t>
  </si>
  <si>
    <t>4.</t>
  </si>
  <si>
    <t>Prihodi iz EU fondova</t>
  </si>
  <si>
    <t>4.1.</t>
  </si>
  <si>
    <t>5.</t>
  </si>
  <si>
    <t>Prihodi od gospodarske djelatnosti</t>
  </si>
  <si>
    <t>6.</t>
  </si>
  <si>
    <t>Preneseni prihod iz prethodne godine</t>
  </si>
  <si>
    <t>7.</t>
  </si>
  <si>
    <t>Ostali prihodi</t>
  </si>
  <si>
    <t xml:space="preserve">SVEUKUPNO </t>
  </si>
  <si>
    <t>AKTIVNOSTI</t>
  </si>
  <si>
    <t xml:space="preserve">ISTRAŽIVANJE I STRATEŠKO PLANIRANJE </t>
  </si>
  <si>
    <t>1.3.</t>
  </si>
  <si>
    <t>Mjerenje učinkovitosti promotivnih aktivnosti</t>
  </si>
  <si>
    <t>ISTRAŽIVANJE I STRATEŠKO PLANIRANJE  - UKUPNO</t>
  </si>
  <si>
    <t>2.</t>
  </si>
  <si>
    <t>RAZVOJ TURISTIČKOG PROIZVODA</t>
  </si>
  <si>
    <t>Identifikacija i vrednovanje resursa te strukturiranje turističkih proizvoda</t>
  </si>
  <si>
    <t>2.3.</t>
  </si>
  <si>
    <t>Podrška razvoju turističkih događanja</t>
  </si>
  <si>
    <t>2.3.1.</t>
  </si>
  <si>
    <t>2.3.2.</t>
  </si>
  <si>
    <t>2.4.</t>
  </si>
  <si>
    <t>RAZVOJ TURISTIČKOG PROIZVODA - UKUPNO</t>
  </si>
  <si>
    <t>KOMUNIKACIJA I OGLAŠAVANJE</t>
  </si>
  <si>
    <t>Odnosi s javnošću: globalni i domaći PR</t>
  </si>
  <si>
    <t>Kreiranje promotivnog materijala</t>
  </si>
  <si>
    <t>Internetske stranice</t>
  </si>
  <si>
    <t>KOMUNIKACIJA I OGLAŠAVANJE - UKUPNO</t>
  </si>
  <si>
    <t>DESTINACIJSKI MENADŽMENT</t>
  </si>
  <si>
    <t>Turistički informacijski sustavi i aplikacije /eVisitor</t>
  </si>
  <si>
    <t>Poticanje na očuvanje i uređenje okoliša</t>
  </si>
  <si>
    <t>DESTINACIJSKI MENADŽMENT - UKUPNO</t>
  </si>
  <si>
    <t>ADMINISTRATIVNI POSLOVI</t>
  </si>
  <si>
    <t>6.1.</t>
  </si>
  <si>
    <t>ADMINISTRATIVNI POSLOVI - UKUPNO</t>
  </si>
  <si>
    <t xml:space="preserve">REZERVA </t>
  </si>
  <si>
    <t>TOTAL</t>
  </si>
  <si>
    <t>KONTO</t>
  </si>
  <si>
    <t>RB</t>
  </si>
  <si>
    <r>
      <rPr>
        <b/>
        <sz val="9"/>
        <color rgb="FF000000"/>
        <rFont val="Calibri"/>
        <family val="2"/>
        <scheme val="minor"/>
      </rPr>
      <t>STRUKTURA</t>
    </r>
    <r>
      <rPr>
        <b/>
        <sz val="10"/>
        <color rgb="FF000000"/>
        <rFont val="Calibri"/>
        <family val="2"/>
        <charset val="238"/>
        <scheme val="minor"/>
      </rPr>
      <t xml:space="preserve"> %</t>
    </r>
  </si>
  <si>
    <t>Prihodi iz proračuna Općine/Županije/Države</t>
  </si>
  <si>
    <t>Prihodi iz Općine Draž</t>
  </si>
  <si>
    <t>Manifestacija Buše</t>
  </si>
  <si>
    <t>Manifestacija Baranjski Bećarac</t>
  </si>
  <si>
    <t>Manifestacije Deer and Bike</t>
  </si>
  <si>
    <t>Manifestacija Somijada</t>
  </si>
  <si>
    <t>Turistička infrastruktura</t>
  </si>
  <si>
    <t>2.3.3.</t>
  </si>
  <si>
    <t>2.3.4.</t>
  </si>
  <si>
    <t>2.3.5.</t>
  </si>
  <si>
    <t>2.3.6.</t>
  </si>
  <si>
    <t>Sportske Manifestacije</t>
  </si>
  <si>
    <t>3.1.</t>
  </si>
  <si>
    <t>Oglašavanje destinacijskog brenda, turističke ponude i proizvoda</t>
  </si>
  <si>
    <t>Sajmovi, posebne prezentacije i poslovne radionice</t>
  </si>
  <si>
    <t>Uređenje općine Draž</t>
  </si>
  <si>
    <t>Projekt uređenja i održavanja plaža</t>
  </si>
  <si>
    <t>Uređenje i održavanje parkova, šetnica i sl.</t>
  </si>
  <si>
    <t>Plaće</t>
  </si>
  <si>
    <t>Materijalni troškovi</t>
  </si>
  <si>
    <t>3.2.</t>
  </si>
  <si>
    <t>3.3.</t>
  </si>
  <si>
    <t>3.4.</t>
  </si>
  <si>
    <t>4.2.</t>
  </si>
  <si>
    <t>4.3.1.</t>
  </si>
  <si>
    <t>4.3.2.</t>
  </si>
  <si>
    <t>4.3.3.</t>
  </si>
  <si>
    <t>4.3.</t>
  </si>
  <si>
    <t>6.2.</t>
  </si>
  <si>
    <t>SVEUKUPNO</t>
  </si>
  <si>
    <t>Fond za turistički nerazvijena područja i kontinent</t>
  </si>
  <si>
    <t>Hrvatska prirodno tvoja</t>
  </si>
  <si>
    <t>Festival tista</t>
  </si>
  <si>
    <t>ČLANSTVO U STRUKOVNIM ORGANIZACIJAMA</t>
  </si>
  <si>
    <t>ČLANSTVO U STRUKOVNIM ORGANIZACIJAMA - UKUPNO</t>
  </si>
  <si>
    <t>3.5.</t>
  </si>
  <si>
    <t>1.1.</t>
  </si>
  <si>
    <t>1.2.</t>
  </si>
  <si>
    <t>2.3.8.</t>
  </si>
  <si>
    <t>Noć u muzeju</t>
  </si>
  <si>
    <t>2.3.9.</t>
  </si>
  <si>
    <t>Marijo svibnja Kraljice</t>
  </si>
  <si>
    <t>Pudarina</t>
  </si>
  <si>
    <t>Mjesec baranjske kuhinje</t>
  </si>
  <si>
    <t>Dan naselja Batine</t>
  </si>
  <si>
    <t>Duboševačka fišijada</t>
  </si>
  <si>
    <t>2.3.10.</t>
  </si>
  <si>
    <t>2.3.11.</t>
  </si>
  <si>
    <t>2.3.12.</t>
  </si>
  <si>
    <t>Upravljanje kvalitetom u destinaciji</t>
  </si>
  <si>
    <t>Planiranje i provedba ključnih investicijskih projekata javnog i privatnog sektora i projekata podizanja konkurentnosti destinacije</t>
  </si>
  <si>
    <t>5.1.</t>
  </si>
  <si>
    <t>5.1.1.</t>
  </si>
  <si>
    <t>Domaće strukovne i slične organizacije</t>
  </si>
  <si>
    <t>LAG Baranja</t>
  </si>
  <si>
    <t xml:space="preserve"> FINACIJSKI PRIKAZ PLANA RADA  TZO DRAŽ - 2025.</t>
  </si>
  <si>
    <t>PLAN 2025</t>
  </si>
  <si>
    <t>8.</t>
  </si>
  <si>
    <t>POKRIVANJE MANJKA IZ PRETHODNE GODINE</t>
  </si>
  <si>
    <t>2.2.</t>
  </si>
  <si>
    <t>Izrada strateških/operativnih/komunikacijskih/akcijskih dokumenata</t>
  </si>
  <si>
    <t>Istraživanje i analiza tržišta</t>
  </si>
  <si>
    <t>2.3.7.</t>
  </si>
  <si>
    <t>Nagrade i priznanja samostalno i u suradnji s RTZ</t>
  </si>
  <si>
    <t>4.2.1.</t>
  </si>
  <si>
    <t>4.2.2.</t>
  </si>
  <si>
    <t>Sustavi označavanja kvalitete turističkog proizvoda</t>
  </si>
  <si>
    <t>Prekogranična suradnja HR-RS</t>
  </si>
  <si>
    <t>Prihod iz državnog proračuna (Ministarstvo kulture i sporta)</t>
  </si>
  <si>
    <t>2.4.1.</t>
  </si>
  <si>
    <t>2.4.2.</t>
  </si>
  <si>
    <t>Smeđa signalizacija</t>
  </si>
  <si>
    <t>Obnova turističke infrastrukture</t>
  </si>
  <si>
    <t>REBALANS 2025</t>
  </si>
  <si>
    <t>indeks     REBALANS 2025 / PLAN 2025</t>
  </si>
  <si>
    <t>7.1.</t>
  </si>
  <si>
    <t>kamata</t>
  </si>
  <si>
    <t>7.2.</t>
  </si>
  <si>
    <t>donacije</t>
  </si>
  <si>
    <t>2.3.13. mbk</t>
  </si>
  <si>
    <t>Akontacija</t>
  </si>
  <si>
    <t>Kamata</t>
  </si>
  <si>
    <t>Donacije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</si>
</sst>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3764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rgb="FFFFFFFF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0"/>
      <color rgb="FFFFFFFF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charset val="238"/>
      <scheme val="minor"/>
    </font>
    <font>
      <sz val="10"/>
      <color rgb="FFFFFFFF"/>
      <name val="Calibri"/>
      <family val="2"/>
      <charset val="238"/>
      <scheme val="minor"/>
    </font>
    <font>
      <b/>
      <sz val="14"/>
      <color rgb="FFFFFFFF"/>
      <name val="Calibri"/>
      <family val="2"/>
      <charset val="238"/>
      <scheme val="minor"/>
    </font>
    <font>
      <b/>
      <sz val="9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00376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vertical="center"/>
    </xf>
    <xf numFmtId="4" fontId="0" fillId="0" borderId="0" xfId="0" applyNumberFormat="1"/>
    <xf numFmtId="0" fontId="7" fillId="0" borderId="2" xfId="0" applyFont="1" applyBorder="1" applyAlignment="1">
      <alignment vertical="center" wrapText="1"/>
    </xf>
    <xf numFmtId="4" fontId="8" fillId="0" borderId="2" xfId="0" applyNumberFormat="1" applyFont="1" applyBorder="1" applyAlignment="1">
      <alignment vertical="center"/>
    </xf>
    <xf numFmtId="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4" fontId="12" fillId="0" borderId="2" xfId="0" applyNumberFormat="1" applyFont="1" applyBorder="1"/>
    <xf numFmtId="3" fontId="0" fillId="0" borderId="0" xfId="0" applyNumberFormat="1"/>
    <xf numFmtId="0" fontId="5" fillId="2" borderId="2" xfId="0" applyFont="1" applyFill="1" applyBorder="1" applyAlignment="1">
      <alignment vertical="center"/>
    </xf>
    <xf numFmtId="4" fontId="6" fillId="0" borderId="2" xfId="0" applyNumberFormat="1" applyFont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15" fillId="3" borderId="2" xfId="0" applyFont="1" applyFill="1" applyBorder="1" applyAlignment="1">
      <alignment vertical="center" wrapText="1"/>
    </xf>
    <xf numFmtId="4" fontId="16" fillId="3" borderId="2" xfId="0" applyNumberFormat="1" applyFont="1" applyFill="1" applyBorder="1" applyAlignment="1">
      <alignment vertical="center"/>
    </xf>
    <xf numFmtId="2" fontId="16" fillId="3" borderId="2" xfId="0" applyNumberFormat="1" applyFont="1" applyFill="1" applyBorder="1" applyAlignment="1">
      <alignment vertical="center"/>
    </xf>
    <xf numFmtId="0" fontId="10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4" fillId="4" borderId="2" xfId="0" applyFont="1" applyFill="1" applyBorder="1" applyAlignment="1">
      <alignment vertical="center" wrapText="1"/>
    </xf>
    <xf numFmtId="4" fontId="19" fillId="4" borderId="2" xfId="0" applyNumberFormat="1" applyFont="1" applyFill="1" applyBorder="1" applyAlignment="1">
      <alignment vertical="center"/>
    </xf>
    <xf numFmtId="2" fontId="6" fillId="4" borderId="2" xfId="0" applyNumberFormat="1" applyFont="1" applyFill="1" applyBorder="1" applyAlignment="1">
      <alignment vertical="center"/>
    </xf>
    <xf numFmtId="4" fontId="6" fillId="2" borderId="2" xfId="0" applyNumberFormat="1" applyFont="1" applyFill="1" applyBorder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wrapText="1"/>
    </xf>
    <xf numFmtId="0" fontId="12" fillId="0" borderId="2" xfId="0" applyFont="1" applyBorder="1" applyAlignment="1">
      <alignment wrapText="1"/>
    </xf>
    <xf numFmtId="0" fontId="13" fillId="0" borderId="0" xfId="0" applyFont="1"/>
    <xf numFmtId="4" fontId="12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horizontal="center"/>
    </xf>
    <xf numFmtId="0" fontId="6" fillId="4" borderId="2" xfId="0" applyFont="1" applyFill="1" applyBorder="1" applyAlignment="1">
      <alignment vertical="center" wrapText="1"/>
    </xf>
    <xf numFmtId="4" fontId="21" fillId="3" borderId="2" xfId="0" applyNumberFormat="1" applyFont="1" applyFill="1" applyBorder="1" applyAlignment="1">
      <alignment vertical="center"/>
    </xf>
    <xf numFmtId="0" fontId="22" fillId="3" borderId="2" xfId="0" applyFont="1" applyFill="1" applyBorder="1" applyAlignment="1">
      <alignment vertical="center" wrapText="1"/>
    </xf>
    <xf numFmtId="0" fontId="1" fillId="0" borderId="0" xfId="0" applyFont="1"/>
    <xf numFmtId="4" fontId="19" fillId="0" borderId="2" xfId="0" applyNumberFormat="1" applyFont="1" applyBorder="1" applyAlignment="1">
      <alignment vertical="center"/>
    </xf>
    <xf numFmtId="0" fontId="4" fillId="2" borderId="2" xfId="0" applyFont="1" applyFill="1" applyBorder="1" applyAlignment="1">
      <alignment wrapText="1"/>
    </xf>
    <xf numFmtId="4" fontId="19" fillId="2" borderId="2" xfId="0" applyNumberFormat="1" applyFont="1" applyFill="1" applyBorder="1"/>
    <xf numFmtId="4" fontId="18" fillId="2" borderId="2" xfId="0" applyNumberFormat="1" applyFont="1" applyFill="1" applyBorder="1" applyAlignment="1">
      <alignment vertical="center"/>
    </xf>
    <xf numFmtId="0" fontId="14" fillId="3" borderId="2" xfId="0" applyFont="1" applyFill="1" applyBorder="1" applyAlignment="1">
      <alignment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2" fontId="21" fillId="3" borderId="2" xfId="0" applyNumberFormat="1" applyFont="1" applyFill="1" applyBorder="1" applyAlignment="1">
      <alignment vertical="center"/>
    </xf>
    <xf numFmtId="4" fontId="19" fillId="2" borderId="2" xfId="0" applyNumberFormat="1" applyFont="1" applyFill="1" applyBorder="1" applyAlignment="1">
      <alignment vertical="center"/>
    </xf>
    <xf numFmtId="0" fontId="8" fillId="0" borderId="2" xfId="0" applyFont="1" applyBorder="1" applyAlignment="1">
      <alignment horizontal="left"/>
    </xf>
    <xf numFmtId="14" fontId="11" fillId="0" borderId="2" xfId="0" applyNumberFormat="1" applyFont="1" applyBorder="1" applyAlignment="1">
      <alignment horizontal="left"/>
    </xf>
    <xf numFmtId="0" fontId="20" fillId="0" borderId="2" xfId="0" applyFont="1" applyBorder="1" applyAlignment="1">
      <alignment wrapText="1"/>
    </xf>
    <xf numFmtId="0" fontId="6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wrapText="1"/>
    </xf>
    <xf numFmtId="4" fontId="4" fillId="5" borderId="2" xfId="0" applyNumberFormat="1" applyFont="1" applyFill="1" applyBorder="1" applyAlignment="1">
      <alignment vertical="center"/>
    </xf>
    <xf numFmtId="0" fontId="4" fillId="4" borderId="2" xfId="0" applyFont="1" applyFill="1" applyBorder="1" applyAlignment="1">
      <alignment wrapText="1"/>
    </xf>
    <xf numFmtId="4" fontId="19" fillId="4" borderId="2" xfId="0" applyNumberFormat="1" applyFont="1" applyFill="1" applyBorder="1"/>
    <xf numFmtId="0" fontId="6" fillId="4" borderId="2" xfId="0" applyFont="1" applyFill="1" applyBorder="1" applyAlignment="1">
      <alignment vertical="center"/>
    </xf>
    <xf numFmtId="14" fontId="6" fillId="0" borderId="2" xfId="0" applyNumberFormat="1" applyFont="1" applyBorder="1" applyAlignment="1">
      <alignment vertical="center" wrapText="1"/>
    </xf>
    <xf numFmtId="4" fontId="4" fillId="4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20" fillId="0" borderId="2" xfId="0" applyNumberFormat="1" applyFont="1" applyBorder="1" applyAlignment="1">
      <alignment vertical="center"/>
    </xf>
    <xf numFmtId="4" fontId="20" fillId="0" borderId="2" xfId="0" applyNumberFormat="1" applyFont="1" applyBorder="1"/>
    <xf numFmtId="4" fontId="24" fillId="6" borderId="2" xfId="0" applyNumberFormat="1" applyFont="1" applyFill="1" applyBorder="1"/>
    <xf numFmtId="0" fontId="25" fillId="0" borderId="2" xfId="0" applyFont="1" applyBorder="1" applyAlignment="1">
      <alignment vertical="center"/>
    </xf>
    <xf numFmtId="0" fontId="0" fillId="0" borderId="2" xfId="0" applyBorder="1" applyAlignment="1">
      <alignment horizontal="left" wrapText="1" indent="2"/>
    </xf>
    <xf numFmtId="4" fontId="19" fillId="5" borderId="2" xfId="0" applyNumberFormat="1" applyFont="1" applyFill="1" applyBorder="1" applyAlignment="1">
      <alignment vertical="center"/>
    </xf>
    <xf numFmtId="0" fontId="12" fillId="0" borderId="5" xfId="0" applyFont="1" applyBorder="1" applyAlignment="1">
      <alignment wrapText="1"/>
    </xf>
    <xf numFmtId="2" fontId="3" fillId="0" borderId="2" xfId="0" applyNumberFormat="1" applyFont="1" applyBorder="1" applyAlignment="1">
      <alignment vertical="center"/>
    </xf>
    <xf numFmtId="2" fontId="6" fillId="0" borderId="2" xfId="0" applyNumberFormat="1" applyFont="1" applyBorder="1" applyAlignment="1">
      <alignment vertical="center"/>
    </xf>
    <xf numFmtId="0" fontId="0" fillId="0" borderId="2" xfId="0" applyBorder="1"/>
    <xf numFmtId="2" fontId="8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25" fillId="0" borderId="2" xfId="0" applyFont="1" applyBorder="1" applyAlignment="1">
      <alignment vertical="center" wrapText="1"/>
    </xf>
    <xf numFmtId="0" fontId="9" fillId="0" borderId="2" xfId="0" applyFont="1" applyBorder="1" applyAlignment="1">
      <alignment wrapText="1"/>
    </xf>
    <xf numFmtId="2" fontId="0" fillId="0" borderId="0" xfId="0" applyNumberFormat="1"/>
    <xf numFmtId="0" fontId="5" fillId="2" borderId="5" xfId="0" applyFont="1" applyFill="1" applyBorder="1" applyAlignment="1">
      <alignment vertical="center"/>
    </xf>
    <xf numFmtId="0" fontId="11" fillId="0" borderId="5" xfId="0" applyFont="1" applyBorder="1" applyAlignment="1">
      <alignment horizontal="left"/>
    </xf>
    <xf numFmtId="0" fontId="0" fillId="7" borderId="0" xfId="0" applyFill="1"/>
    <xf numFmtId="4" fontId="0" fillId="7" borderId="0" xfId="0" applyNumberFormat="1" applyFill="1"/>
    <xf numFmtId="0" fontId="5" fillId="8" borderId="2" xfId="0" applyFont="1" applyFill="1" applyBorder="1" applyAlignment="1">
      <alignment vertical="center"/>
    </xf>
    <xf numFmtId="0" fontId="7" fillId="8" borderId="2" xfId="0" applyFont="1" applyFill="1" applyBorder="1" applyAlignment="1">
      <alignment vertical="center"/>
    </xf>
    <xf numFmtId="4" fontId="18" fillId="8" borderId="2" xfId="0" applyNumberFormat="1" applyFont="1" applyFill="1" applyBorder="1" applyAlignment="1">
      <alignment vertical="center"/>
    </xf>
    <xf numFmtId="4" fontId="19" fillId="8" borderId="2" xfId="0" applyNumberFormat="1" applyFont="1" applyFill="1" applyBorder="1" applyAlignment="1">
      <alignment vertical="center"/>
    </xf>
    <xf numFmtId="4" fontId="4" fillId="8" borderId="2" xfId="0" applyNumberFormat="1" applyFont="1" applyFill="1" applyBorder="1" applyAlignment="1">
      <alignment vertical="center"/>
    </xf>
    <xf numFmtId="2" fontId="6" fillId="8" borderId="2" xfId="0" applyNumberFormat="1" applyFont="1" applyFill="1" applyBorder="1" applyAlignment="1">
      <alignment vertical="center"/>
    </xf>
    <xf numFmtId="0" fontId="25" fillId="8" borderId="2" xfId="0" applyFont="1" applyFill="1" applyBorder="1" applyAlignment="1">
      <alignment vertical="center"/>
    </xf>
    <xf numFmtId="0" fontId="14" fillId="3" borderId="2" xfId="0" applyFont="1" applyFill="1" applyBorder="1" applyAlignment="1">
      <alignment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6"/>
  <sheetViews>
    <sheetView tabSelected="1" zoomScale="80" zoomScaleNormal="80" workbookViewId="0">
      <selection activeCell="E15" sqref="E15"/>
    </sheetView>
  </sheetViews>
  <sheetFormatPr defaultRowHeight="14.4" x14ac:dyDescent="0.3"/>
  <cols>
    <col min="1" max="1" width="4.21875" customWidth="1"/>
    <col min="2" max="2" width="5.77734375" customWidth="1"/>
    <col min="3" max="3" width="6.77734375" customWidth="1"/>
    <col min="4" max="4" width="46.21875" customWidth="1"/>
    <col min="5" max="6" width="12.5546875" customWidth="1"/>
    <col min="7" max="7" width="13" customWidth="1"/>
    <col min="8" max="8" width="9.5546875" customWidth="1"/>
    <col min="9" max="9" width="11.5546875" customWidth="1"/>
    <col min="10" max="10" width="15.77734375" customWidth="1"/>
    <col min="11" max="11" width="9.77734375" bestFit="1" customWidth="1"/>
    <col min="13" max="13" width="12.5546875" bestFit="1" customWidth="1"/>
  </cols>
  <sheetData>
    <row r="1" spans="1:13" ht="19.5" customHeight="1" x14ac:dyDescent="0.3">
      <c r="A1" s="96" t="s">
        <v>105</v>
      </c>
      <c r="B1" s="96"/>
      <c r="C1" s="96"/>
      <c r="D1" s="96"/>
      <c r="E1" s="96"/>
    </row>
    <row r="2" spans="1:13" ht="39" customHeight="1" x14ac:dyDescent="0.3">
      <c r="A2" s="94" t="s">
        <v>48</v>
      </c>
      <c r="B2" s="95"/>
      <c r="C2" s="1" t="s">
        <v>47</v>
      </c>
      <c r="D2" s="2" t="s">
        <v>0</v>
      </c>
      <c r="E2" s="49" t="s">
        <v>106</v>
      </c>
      <c r="F2" s="49" t="s">
        <v>123</v>
      </c>
      <c r="G2" s="50" t="s">
        <v>124</v>
      </c>
      <c r="H2" s="48" t="s">
        <v>49</v>
      </c>
    </row>
    <row r="3" spans="1:13" x14ac:dyDescent="0.3">
      <c r="A3" s="3" t="s">
        <v>1</v>
      </c>
      <c r="B3" s="3"/>
      <c r="C3" s="3"/>
      <c r="D3" s="3" t="s">
        <v>2</v>
      </c>
      <c r="E3" s="52">
        <f>SUM(E4:E5)</f>
        <v>4000</v>
      </c>
      <c r="F3" s="52">
        <f>SUM(F4:F5)</f>
        <v>5079.0200000000004</v>
      </c>
      <c r="G3" s="4">
        <f t="shared" ref="G3:G9" si="0">SUM(F3/E3*100)</f>
        <v>126.97550000000003</v>
      </c>
      <c r="H3" s="5">
        <f t="shared" ref="H3:H17" si="1">F3/$F$20*100</f>
        <v>5.8052424825034752</v>
      </c>
      <c r="J3" s="6"/>
    </row>
    <row r="4" spans="1:13" x14ac:dyDescent="0.3">
      <c r="A4" s="7"/>
      <c r="B4" s="7" t="s">
        <v>86</v>
      </c>
      <c r="C4" s="7"/>
      <c r="D4" s="7" t="s">
        <v>3</v>
      </c>
      <c r="E4" s="36">
        <v>2200</v>
      </c>
      <c r="F4" s="36">
        <v>3394.17</v>
      </c>
      <c r="G4" s="15">
        <f t="shared" si="0"/>
        <v>154.28045454545455</v>
      </c>
      <c r="H4" s="90">
        <f t="shared" si="1"/>
        <v>3.879484600737706</v>
      </c>
      <c r="J4" s="6"/>
    </row>
    <row r="5" spans="1:13" x14ac:dyDescent="0.3">
      <c r="A5" s="10"/>
      <c r="B5" s="7" t="s">
        <v>87</v>
      </c>
      <c r="C5" s="7"/>
      <c r="D5" s="7" t="s">
        <v>4</v>
      </c>
      <c r="E5" s="36">
        <v>1800</v>
      </c>
      <c r="F5" s="36">
        <v>1684.85</v>
      </c>
      <c r="G5" s="15">
        <f t="shared" si="0"/>
        <v>93.602777777777774</v>
      </c>
      <c r="H5" s="90">
        <f t="shared" si="1"/>
        <v>1.9257578817657697</v>
      </c>
    </row>
    <row r="6" spans="1:13" x14ac:dyDescent="0.3">
      <c r="A6" s="3" t="s">
        <v>5</v>
      </c>
      <c r="B6" s="3"/>
      <c r="C6" s="3"/>
      <c r="D6" s="3" t="s">
        <v>50</v>
      </c>
      <c r="E6" s="45">
        <f>SUM(E7:E8)</f>
        <v>55000</v>
      </c>
      <c r="F6" s="52">
        <f>SUM(F7:F8)</f>
        <v>35170</v>
      </c>
      <c r="G6" s="4">
        <f t="shared" si="0"/>
        <v>63.945454545454552</v>
      </c>
      <c r="H6" s="5">
        <f t="shared" si="1"/>
        <v>40.198774194558638</v>
      </c>
      <c r="M6" s="6"/>
    </row>
    <row r="7" spans="1:13" x14ac:dyDescent="0.3">
      <c r="A7" s="11"/>
      <c r="B7" s="11" t="s">
        <v>6</v>
      </c>
      <c r="C7" s="11"/>
      <c r="D7" s="70" t="s">
        <v>51</v>
      </c>
      <c r="E7" s="12">
        <v>40000</v>
      </c>
      <c r="F7" s="12">
        <v>23000</v>
      </c>
      <c r="G7" s="15">
        <f t="shared" si="0"/>
        <v>57.499999999999993</v>
      </c>
      <c r="H7" s="90">
        <f t="shared" si="1"/>
        <v>26.288649601218335</v>
      </c>
      <c r="J7" s="13"/>
    </row>
    <row r="8" spans="1:13" ht="28.8" x14ac:dyDescent="0.3">
      <c r="A8" s="69"/>
      <c r="B8" s="77" t="s">
        <v>109</v>
      </c>
      <c r="C8" s="69"/>
      <c r="D8" s="78" t="s">
        <v>118</v>
      </c>
      <c r="E8" s="9">
        <v>15000</v>
      </c>
      <c r="F8" s="9">
        <v>12170</v>
      </c>
      <c r="G8" s="15">
        <v>0</v>
      </c>
      <c r="H8" s="90">
        <f t="shared" si="1"/>
        <v>13.910124593340308</v>
      </c>
      <c r="M8" s="6"/>
    </row>
    <row r="9" spans="1:13" x14ac:dyDescent="0.3">
      <c r="A9" s="14" t="s">
        <v>7</v>
      </c>
      <c r="B9" s="14"/>
      <c r="C9" s="14"/>
      <c r="D9" s="14" t="s">
        <v>8</v>
      </c>
      <c r="E9" s="45">
        <f>SUM(E10:E11)</f>
        <v>25000</v>
      </c>
      <c r="F9" s="52">
        <f>SUM(F10:F11)</f>
        <v>27960</v>
      </c>
      <c r="G9" s="4">
        <f t="shared" si="0"/>
        <v>111.84</v>
      </c>
      <c r="H9" s="5">
        <f t="shared" si="1"/>
        <v>31.957854036959326</v>
      </c>
      <c r="M9" s="6"/>
    </row>
    <row r="10" spans="1:13" x14ac:dyDescent="0.3">
      <c r="A10" s="69"/>
      <c r="B10" s="77" t="s">
        <v>62</v>
      </c>
      <c r="C10" s="69"/>
      <c r="D10" s="69" t="s">
        <v>80</v>
      </c>
      <c r="E10" s="9">
        <v>25000</v>
      </c>
      <c r="F10" s="9">
        <v>27960</v>
      </c>
      <c r="G10" s="15">
        <f t="shared" ref="G10" si="2">SUM(F10/E10*100)</f>
        <v>111.84</v>
      </c>
      <c r="H10" s="90">
        <f t="shared" si="1"/>
        <v>31.957854036959326</v>
      </c>
      <c r="M10" s="6"/>
    </row>
    <row r="11" spans="1:13" x14ac:dyDescent="0.3">
      <c r="A11" s="69"/>
      <c r="B11" s="77" t="s">
        <v>70</v>
      </c>
      <c r="C11" s="69"/>
      <c r="D11" s="69" t="s">
        <v>81</v>
      </c>
      <c r="E11" s="9">
        <v>0</v>
      </c>
      <c r="F11" s="9">
        <v>0</v>
      </c>
      <c r="G11" s="15">
        <v>0</v>
      </c>
      <c r="H11" s="90">
        <f t="shared" si="1"/>
        <v>0</v>
      </c>
      <c r="M11" s="6"/>
    </row>
    <row r="12" spans="1:13" x14ac:dyDescent="0.3">
      <c r="A12" s="14" t="s">
        <v>9</v>
      </c>
      <c r="B12" s="14"/>
      <c r="C12" s="14"/>
      <c r="D12" s="14" t="s">
        <v>10</v>
      </c>
      <c r="E12" s="52">
        <f>SUM(E13)</f>
        <v>20000</v>
      </c>
      <c r="F12" s="52">
        <f>SUM(F13)</f>
        <v>0</v>
      </c>
      <c r="G12" s="4">
        <v>0</v>
      </c>
      <c r="H12" s="5">
        <f t="shared" si="1"/>
        <v>0</v>
      </c>
    </row>
    <row r="13" spans="1:13" x14ac:dyDescent="0.3">
      <c r="A13" s="77"/>
      <c r="B13" s="77" t="s">
        <v>11</v>
      </c>
      <c r="C13" s="77"/>
      <c r="D13" s="77" t="s">
        <v>117</v>
      </c>
      <c r="E13" s="42">
        <v>20000</v>
      </c>
      <c r="F13" s="42">
        <v>0</v>
      </c>
      <c r="G13" s="23">
        <v>0</v>
      </c>
      <c r="H13" s="74">
        <f t="shared" si="1"/>
        <v>0</v>
      </c>
    </row>
    <row r="14" spans="1:13" x14ac:dyDescent="0.3">
      <c r="A14" s="14" t="s">
        <v>12</v>
      </c>
      <c r="B14" s="16"/>
      <c r="C14" s="16"/>
      <c r="D14" s="14" t="s">
        <v>13</v>
      </c>
      <c r="E14" s="45">
        <v>1000</v>
      </c>
      <c r="F14" s="52">
        <f>SUM(F15)</f>
        <v>780</v>
      </c>
      <c r="G14" s="4">
        <f t="shared" ref="G14:G16" si="3">SUM(F14/E14*100)</f>
        <v>78</v>
      </c>
      <c r="H14" s="5">
        <f t="shared" si="1"/>
        <v>0.89152811691088252</v>
      </c>
    </row>
    <row r="15" spans="1:13" x14ac:dyDescent="0.3">
      <c r="A15" s="85"/>
      <c r="B15" s="86" t="s">
        <v>101</v>
      </c>
      <c r="C15" s="86"/>
      <c r="D15" s="91" t="s">
        <v>130</v>
      </c>
      <c r="E15" s="87">
        <v>0</v>
      </c>
      <c r="F15" s="88">
        <v>780</v>
      </c>
      <c r="G15" s="15">
        <v>0</v>
      </c>
      <c r="H15" s="90">
        <f t="shared" si="1"/>
        <v>0.89152811691088252</v>
      </c>
    </row>
    <row r="16" spans="1:13" x14ac:dyDescent="0.3">
      <c r="A16" s="14" t="s">
        <v>14</v>
      </c>
      <c r="B16" s="16"/>
      <c r="C16" s="16"/>
      <c r="D16" s="14" t="s">
        <v>15</v>
      </c>
      <c r="E16" s="45">
        <v>5500</v>
      </c>
      <c r="F16" s="52">
        <v>18000</v>
      </c>
      <c r="G16" s="4">
        <f t="shared" si="3"/>
        <v>327.27272727272731</v>
      </c>
      <c r="H16" s="5">
        <f t="shared" si="1"/>
        <v>20.573725774866521</v>
      </c>
    </row>
    <row r="17" spans="1:10" x14ac:dyDescent="0.3">
      <c r="A17" s="14" t="s">
        <v>16</v>
      </c>
      <c r="B17" s="14"/>
      <c r="C17" s="14"/>
      <c r="D17" s="14" t="s">
        <v>17</v>
      </c>
      <c r="E17" s="45">
        <v>0</v>
      </c>
      <c r="F17" s="52">
        <f>SUM(F18:F19)</f>
        <v>501.21</v>
      </c>
      <c r="G17" s="4">
        <v>0</v>
      </c>
      <c r="H17" s="5">
        <f t="shared" si="1"/>
        <v>0.57287539420115818</v>
      </c>
      <c r="I17" s="41"/>
    </row>
    <row r="18" spans="1:10" x14ac:dyDescent="0.3">
      <c r="A18" s="85"/>
      <c r="B18" s="85" t="s">
        <v>125</v>
      </c>
      <c r="C18" s="85"/>
      <c r="D18" s="91" t="s">
        <v>131</v>
      </c>
      <c r="E18" s="87">
        <v>0</v>
      </c>
      <c r="F18" s="87">
        <v>1.21</v>
      </c>
      <c r="G18" s="89">
        <v>0</v>
      </c>
      <c r="H18" s="90">
        <f t="shared" ref="H18:H19" si="4">F18/$F$20*100</f>
        <v>1.3830115659771382E-3</v>
      </c>
      <c r="I18" s="41"/>
    </row>
    <row r="19" spans="1:10" x14ac:dyDescent="0.3">
      <c r="A19" s="85"/>
      <c r="B19" s="85" t="s">
        <v>127</v>
      </c>
      <c r="C19" s="85"/>
      <c r="D19" s="91" t="s">
        <v>132</v>
      </c>
      <c r="E19" s="87">
        <v>0</v>
      </c>
      <c r="F19" s="87">
        <v>500</v>
      </c>
      <c r="G19" s="89">
        <v>0</v>
      </c>
      <c r="H19" s="90">
        <f t="shared" si="4"/>
        <v>0.5714923826351811</v>
      </c>
      <c r="I19" s="41"/>
    </row>
    <row r="20" spans="1:10" ht="15.6" x14ac:dyDescent="0.3">
      <c r="A20" s="92"/>
      <c r="B20" s="92"/>
      <c r="C20" s="46"/>
      <c r="D20" s="17" t="s">
        <v>18</v>
      </c>
      <c r="E20" s="18">
        <f>SUM(E3,E6,E9,E12,E14:E17,)</f>
        <v>110500</v>
      </c>
      <c r="F20" s="18">
        <f>SUM(F17,F16,F14,F12,F9,F6,F3)</f>
        <v>87490.23</v>
      </c>
      <c r="G20" s="18">
        <f>SUM(F20/E20*100)</f>
        <v>79.176678733031665</v>
      </c>
      <c r="H20" s="19">
        <f>H3+H6+H9+H12+H14+H16+H17</f>
        <v>100</v>
      </c>
      <c r="J20" s="6"/>
    </row>
    <row r="21" spans="1:10" x14ac:dyDescent="0.3">
      <c r="A21" s="20"/>
      <c r="B21" s="20"/>
      <c r="C21" s="20"/>
      <c r="D21" s="20"/>
      <c r="E21" s="20"/>
      <c r="F21" s="20"/>
      <c r="G21" s="20"/>
      <c r="H21" s="20"/>
    </row>
    <row r="22" spans="1:10" ht="9" customHeight="1" x14ac:dyDescent="0.3">
      <c r="A22" s="21"/>
    </row>
    <row r="23" spans="1:10" ht="36" customHeight="1" x14ac:dyDescent="0.3">
      <c r="A23" s="94" t="s">
        <v>48</v>
      </c>
      <c r="B23" s="95"/>
      <c r="C23" s="1" t="s">
        <v>47</v>
      </c>
      <c r="D23" s="2" t="s">
        <v>19</v>
      </c>
      <c r="E23" s="49" t="s">
        <v>106</v>
      </c>
      <c r="F23" s="49" t="s">
        <v>123</v>
      </c>
      <c r="G23" s="50" t="s">
        <v>124</v>
      </c>
      <c r="H23" s="48" t="s">
        <v>49</v>
      </c>
    </row>
    <row r="24" spans="1:10" x14ac:dyDescent="0.3">
      <c r="A24" s="1" t="s">
        <v>1</v>
      </c>
      <c r="B24" s="1"/>
      <c r="C24" s="1"/>
      <c r="D24" s="1" t="s">
        <v>20</v>
      </c>
      <c r="E24" s="4">
        <f>SUM(E27:E27)</f>
        <v>0</v>
      </c>
      <c r="F24" s="4">
        <v>0</v>
      </c>
      <c r="G24" s="4">
        <v>0</v>
      </c>
      <c r="H24" s="5">
        <f>F24/$F$76*100</f>
        <v>0</v>
      </c>
    </row>
    <row r="25" spans="1:10" ht="27.6" x14ac:dyDescent="0.3">
      <c r="A25" s="22"/>
      <c r="B25" s="22" t="s">
        <v>86</v>
      </c>
      <c r="C25" s="22"/>
      <c r="D25" s="22" t="s">
        <v>110</v>
      </c>
      <c r="E25" s="23">
        <v>0</v>
      </c>
      <c r="F25" s="23">
        <v>0</v>
      </c>
      <c r="G25" s="23">
        <v>0</v>
      </c>
      <c r="H25" s="74">
        <v>0</v>
      </c>
    </row>
    <row r="26" spans="1:10" x14ac:dyDescent="0.3">
      <c r="A26" s="22"/>
      <c r="B26" s="22" t="s">
        <v>87</v>
      </c>
      <c r="C26" s="22"/>
      <c r="D26" s="22" t="s">
        <v>111</v>
      </c>
      <c r="E26" s="23">
        <v>0</v>
      </c>
      <c r="F26" s="23">
        <v>500</v>
      </c>
      <c r="G26" s="23">
        <v>0</v>
      </c>
      <c r="H26" s="74">
        <f t="shared" ref="H26:H74" si="5">F26/$F$76*100</f>
        <v>0.55586801514317885</v>
      </c>
    </row>
    <row r="27" spans="1:10" x14ac:dyDescent="0.3">
      <c r="A27" s="22"/>
      <c r="B27" s="22" t="s">
        <v>21</v>
      </c>
      <c r="C27" s="22"/>
      <c r="D27" s="22" t="s">
        <v>22</v>
      </c>
      <c r="E27" s="42">
        <v>0</v>
      </c>
      <c r="F27" s="42">
        <v>0</v>
      </c>
      <c r="G27" s="8">
        <v>0</v>
      </c>
      <c r="H27" s="74">
        <f t="shared" si="5"/>
        <v>0</v>
      </c>
    </row>
    <row r="28" spans="1:10" x14ac:dyDescent="0.3">
      <c r="A28" s="26"/>
      <c r="B28" s="26"/>
      <c r="C28" s="26"/>
      <c r="D28" s="26" t="s">
        <v>23</v>
      </c>
      <c r="E28" s="27">
        <v>0</v>
      </c>
      <c r="F28" s="27">
        <v>0</v>
      </c>
      <c r="G28" s="27">
        <v>0</v>
      </c>
      <c r="H28" s="28">
        <f t="shared" si="5"/>
        <v>0</v>
      </c>
    </row>
    <row r="29" spans="1:10" ht="29.55" customHeight="1" x14ac:dyDescent="0.3">
      <c r="A29" s="43" t="s">
        <v>24</v>
      </c>
      <c r="B29" s="43"/>
      <c r="C29" s="43"/>
      <c r="D29" s="43" t="s">
        <v>25</v>
      </c>
      <c r="E29" s="44">
        <f>SUM(E45,E32,E30)</f>
        <v>78900</v>
      </c>
      <c r="F29" s="44">
        <f>SUM(F48)</f>
        <v>58782.28</v>
      </c>
      <c r="G29" s="4">
        <f t="shared" ref="G29" si="6">SUM(F29/E29*100)</f>
        <v>74.502256020278836</v>
      </c>
      <c r="H29" s="5">
        <f t="shared" si="5"/>
        <v>65.350378618381157</v>
      </c>
    </row>
    <row r="30" spans="1:10" ht="27.6" x14ac:dyDescent="0.3">
      <c r="A30" s="25"/>
      <c r="B30" s="30" t="s">
        <v>6</v>
      </c>
      <c r="C30" s="30"/>
      <c r="D30" s="22" t="s">
        <v>26</v>
      </c>
      <c r="E30" s="23">
        <v>0</v>
      </c>
      <c r="F30" s="23">
        <v>0</v>
      </c>
      <c r="G30" s="65">
        <v>0</v>
      </c>
      <c r="H30" s="74">
        <f t="shared" si="5"/>
        <v>0</v>
      </c>
      <c r="I30" s="41"/>
    </row>
    <row r="31" spans="1:10" x14ac:dyDescent="0.3">
      <c r="A31" s="25"/>
      <c r="B31" s="30" t="s">
        <v>109</v>
      </c>
      <c r="C31" s="30"/>
      <c r="D31" s="22" t="s">
        <v>116</v>
      </c>
      <c r="E31" s="23">
        <v>100</v>
      </c>
      <c r="F31" s="23">
        <v>100</v>
      </c>
      <c r="G31" s="65">
        <v>0</v>
      </c>
      <c r="H31" s="74">
        <f t="shared" si="5"/>
        <v>0.11117360302863576</v>
      </c>
      <c r="I31" s="41"/>
    </row>
    <row r="32" spans="1:10" x14ac:dyDescent="0.3">
      <c r="A32" s="22"/>
      <c r="B32" s="32" t="s">
        <v>27</v>
      </c>
      <c r="C32" s="32"/>
      <c r="D32" s="33" t="s">
        <v>28</v>
      </c>
      <c r="E32" s="23">
        <f>SUM(E33:E44)</f>
        <v>56900</v>
      </c>
      <c r="F32" s="23">
        <f>SUM(F33:F44)</f>
        <v>58389.78</v>
      </c>
      <c r="G32" s="23">
        <f t="shared" ref="G32:G44" si="7">SUM(F32/E32*100)</f>
        <v>102.61824253075571</v>
      </c>
      <c r="H32" s="74">
        <f t="shared" si="5"/>
        <v>64.914022226493756</v>
      </c>
      <c r="I32" s="41"/>
    </row>
    <row r="33" spans="1:9" x14ac:dyDescent="0.3">
      <c r="A33" s="22"/>
      <c r="B33" s="75"/>
      <c r="C33" s="53" t="s">
        <v>29</v>
      </c>
      <c r="D33" s="34" t="s">
        <v>52</v>
      </c>
      <c r="E33" s="15">
        <v>14900</v>
      </c>
      <c r="F33" s="15">
        <v>21445.58</v>
      </c>
      <c r="G33" s="15">
        <f t="shared" si="7"/>
        <v>143.93006711409399</v>
      </c>
      <c r="H33" s="74">
        <f t="shared" si="5"/>
        <v>23.841823976388508</v>
      </c>
    </row>
    <row r="34" spans="1:9" x14ac:dyDescent="0.3">
      <c r="A34" s="22"/>
      <c r="B34" s="75"/>
      <c r="C34" s="54" t="s">
        <v>30</v>
      </c>
      <c r="D34" s="34" t="s">
        <v>53</v>
      </c>
      <c r="E34" s="15">
        <v>21000</v>
      </c>
      <c r="F34" s="15">
        <v>24785.18</v>
      </c>
      <c r="G34" s="15">
        <f t="shared" si="7"/>
        <v>118.02466666666666</v>
      </c>
      <c r="H34" s="74">
        <f t="shared" si="5"/>
        <v>27.554577623132825</v>
      </c>
      <c r="I34" s="35"/>
    </row>
    <row r="35" spans="1:9" x14ac:dyDescent="0.3">
      <c r="A35" s="22"/>
      <c r="B35" s="75"/>
      <c r="C35" s="31" t="s">
        <v>57</v>
      </c>
      <c r="D35" s="34" t="s">
        <v>54</v>
      </c>
      <c r="E35" s="15">
        <v>1000</v>
      </c>
      <c r="F35" s="15">
        <v>411.25</v>
      </c>
      <c r="G35" s="15">
        <f t="shared" si="7"/>
        <v>41.125</v>
      </c>
      <c r="H35" s="74">
        <f t="shared" si="5"/>
        <v>0.45720144245526456</v>
      </c>
    </row>
    <row r="36" spans="1:9" x14ac:dyDescent="0.3">
      <c r="A36" s="22"/>
      <c r="B36" s="75"/>
      <c r="C36" s="31" t="s">
        <v>58</v>
      </c>
      <c r="D36" s="34" t="s">
        <v>55</v>
      </c>
      <c r="E36" s="36">
        <v>1000</v>
      </c>
      <c r="F36" s="36">
        <v>360</v>
      </c>
      <c r="G36" s="15">
        <f t="shared" si="7"/>
        <v>36</v>
      </c>
      <c r="H36" s="74">
        <f t="shared" si="5"/>
        <v>0.40022497090308873</v>
      </c>
    </row>
    <row r="37" spans="1:9" x14ac:dyDescent="0.3">
      <c r="A37" s="22"/>
      <c r="B37" s="75"/>
      <c r="C37" s="31" t="s">
        <v>59</v>
      </c>
      <c r="D37" s="34" t="s">
        <v>61</v>
      </c>
      <c r="E37" s="15">
        <v>1000</v>
      </c>
      <c r="F37" s="15">
        <v>1374.57</v>
      </c>
      <c r="G37" s="15">
        <f t="shared" si="7"/>
        <v>137.45699999999999</v>
      </c>
      <c r="H37" s="74">
        <f t="shared" si="5"/>
        <v>1.5281589951507186</v>
      </c>
    </row>
    <row r="38" spans="1:9" x14ac:dyDescent="0.3">
      <c r="A38" s="22"/>
      <c r="B38" s="75"/>
      <c r="C38" s="31" t="s">
        <v>60</v>
      </c>
      <c r="D38" s="34" t="s">
        <v>82</v>
      </c>
      <c r="E38" s="15">
        <v>15000</v>
      </c>
      <c r="F38" s="15">
        <v>7400</v>
      </c>
      <c r="G38" s="15">
        <f t="shared" si="7"/>
        <v>49.333333333333336</v>
      </c>
      <c r="H38" s="74">
        <f t="shared" si="5"/>
        <v>8.2268466241190463</v>
      </c>
    </row>
    <row r="39" spans="1:9" x14ac:dyDescent="0.3">
      <c r="A39" s="22"/>
      <c r="B39" s="75"/>
      <c r="C39" s="31" t="s">
        <v>112</v>
      </c>
      <c r="D39" s="34" t="s">
        <v>91</v>
      </c>
      <c r="E39" s="15">
        <v>500</v>
      </c>
      <c r="F39" s="15">
        <v>0</v>
      </c>
      <c r="G39" s="15">
        <f t="shared" si="7"/>
        <v>0</v>
      </c>
      <c r="H39" s="74">
        <f t="shared" si="5"/>
        <v>0</v>
      </c>
    </row>
    <row r="40" spans="1:9" x14ac:dyDescent="0.3">
      <c r="A40" s="22"/>
      <c r="B40" s="75"/>
      <c r="C40" s="31" t="s">
        <v>88</v>
      </c>
      <c r="D40" s="34" t="s">
        <v>92</v>
      </c>
      <c r="E40" s="15">
        <v>500</v>
      </c>
      <c r="F40" s="15">
        <v>933.2</v>
      </c>
      <c r="G40" s="15">
        <f t="shared" si="7"/>
        <v>186.64000000000001</v>
      </c>
      <c r="H40" s="74">
        <f t="shared" si="5"/>
        <v>1.0374720634632291</v>
      </c>
    </row>
    <row r="41" spans="1:9" x14ac:dyDescent="0.3">
      <c r="A41" s="22"/>
      <c r="B41" s="75"/>
      <c r="C41" s="31" t="s">
        <v>90</v>
      </c>
      <c r="D41" s="34" t="s">
        <v>93</v>
      </c>
      <c r="E41" s="15">
        <v>500</v>
      </c>
      <c r="F41" s="15">
        <v>500</v>
      </c>
      <c r="G41" s="15">
        <f t="shared" si="7"/>
        <v>100</v>
      </c>
      <c r="H41" s="74">
        <f t="shared" si="5"/>
        <v>0.55586801514317885</v>
      </c>
    </row>
    <row r="42" spans="1:9" x14ac:dyDescent="0.3">
      <c r="A42" s="22"/>
      <c r="B42" s="75"/>
      <c r="C42" s="31" t="s">
        <v>96</v>
      </c>
      <c r="D42" s="72" t="s">
        <v>95</v>
      </c>
      <c r="E42" s="15">
        <v>500</v>
      </c>
      <c r="F42" s="15">
        <v>180</v>
      </c>
      <c r="G42" s="15">
        <f t="shared" si="7"/>
        <v>36</v>
      </c>
      <c r="H42" s="74">
        <f t="shared" si="5"/>
        <v>0.20011248545154436</v>
      </c>
    </row>
    <row r="43" spans="1:9" x14ac:dyDescent="0.3">
      <c r="A43" s="22"/>
      <c r="B43" s="75"/>
      <c r="C43" s="31" t="s">
        <v>97</v>
      </c>
      <c r="D43" s="34" t="s">
        <v>94</v>
      </c>
      <c r="E43" s="15">
        <v>500</v>
      </c>
      <c r="F43" s="15">
        <v>0</v>
      </c>
      <c r="G43" s="15">
        <f t="shared" si="7"/>
        <v>0</v>
      </c>
      <c r="H43" s="74">
        <f t="shared" si="5"/>
        <v>0</v>
      </c>
    </row>
    <row r="44" spans="1:9" x14ac:dyDescent="0.3">
      <c r="A44" s="22"/>
      <c r="B44" s="75"/>
      <c r="C44" s="31" t="s">
        <v>98</v>
      </c>
      <c r="D44" s="34" t="s">
        <v>89</v>
      </c>
      <c r="E44" s="15">
        <v>500</v>
      </c>
      <c r="F44" s="15">
        <v>1000</v>
      </c>
      <c r="G44" s="15">
        <f t="shared" si="7"/>
        <v>200</v>
      </c>
      <c r="H44" s="74">
        <f t="shared" si="5"/>
        <v>1.1117360302863577</v>
      </c>
    </row>
    <row r="45" spans="1:9" x14ac:dyDescent="0.3">
      <c r="A45" s="22"/>
      <c r="B45" s="32" t="s">
        <v>31</v>
      </c>
      <c r="C45" s="31"/>
      <c r="D45" s="55" t="s">
        <v>56</v>
      </c>
      <c r="E45" s="23">
        <f>SUM(E46:E47)</f>
        <v>22000</v>
      </c>
      <c r="F45" s="23">
        <f>SUM(F46:F47)</f>
        <v>292.5</v>
      </c>
      <c r="G45" s="23">
        <f t="shared" ref="G45" si="8">SUM(F45/E45*100)</f>
        <v>1.3295454545454546</v>
      </c>
      <c r="H45" s="74">
        <f t="shared" si="5"/>
        <v>0.32518278885875962</v>
      </c>
    </row>
    <row r="46" spans="1:9" x14ac:dyDescent="0.3">
      <c r="A46" s="22"/>
      <c r="B46" s="32"/>
      <c r="C46" s="31" t="s">
        <v>119</v>
      </c>
      <c r="D46" s="79" t="s">
        <v>121</v>
      </c>
      <c r="E46" s="15">
        <v>2000</v>
      </c>
      <c r="F46" s="15">
        <v>292.5</v>
      </c>
      <c r="G46" s="15">
        <f t="shared" ref="G46" si="9">SUM(F46/E46*100)</f>
        <v>14.625</v>
      </c>
      <c r="H46" s="74">
        <f t="shared" si="5"/>
        <v>0.32518278885875962</v>
      </c>
    </row>
    <row r="47" spans="1:9" x14ac:dyDescent="0.3">
      <c r="A47" s="22"/>
      <c r="B47" s="32"/>
      <c r="C47" s="31" t="s">
        <v>120</v>
      </c>
      <c r="D47" s="79" t="s">
        <v>122</v>
      </c>
      <c r="E47" s="15">
        <v>20000</v>
      </c>
      <c r="F47" s="15">
        <v>0</v>
      </c>
      <c r="G47" s="8">
        <v>0</v>
      </c>
      <c r="H47" s="74">
        <f t="shared" si="5"/>
        <v>0</v>
      </c>
    </row>
    <row r="48" spans="1:9" ht="24.6" customHeight="1" x14ac:dyDescent="0.3">
      <c r="A48" s="60"/>
      <c r="B48" s="60"/>
      <c r="C48" s="60"/>
      <c r="D48" s="26" t="s">
        <v>32</v>
      </c>
      <c r="E48" s="61">
        <f>SUM(E30,E32,E45)</f>
        <v>78900</v>
      </c>
      <c r="F48" s="61">
        <f>SUM(F45,F32,F31,F30)</f>
        <v>58782.28</v>
      </c>
      <c r="G48" s="64">
        <f t="shared" ref="G48:G64" si="10">SUM(F48/E48*100)</f>
        <v>74.502256020278836</v>
      </c>
      <c r="H48" s="28">
        <f t="shared" si="5"/>
        <v>65.350378618381157</v>
      </c>
    </row>
    <row r="49" spans="1:9" x14ac:dyDescent="0.3">
      <c r="A49" s="56" t="s">
        <v>7</v>
      </c>
      <c r="B49" s="57"/>
      <c r="C49" s="57"/>
      <c r="D49" s="58" t="s">
        <v>33</v>
      </c>
      <c r="E49" s="59">
        <f>SUM(E50:E54)</f>
        <v>7000</v>
      </c>
      <c r="F49" s="59">
        <f>SUM(F55)</f>
        <v>3289.66</v>
      </c>
      <c r="G49" s="4">
        <f t="shared" si="10"/>
        <v>46.995142857142859</v>
      </c>
      <c r="H49" s="5">
        <f t="shared" si="5"/>
        <v>3.6572335493918189</v>
      </c>
    </row>
    <row r="50" spans="1:9" ht="27.6" x14ac:dyDescent="0.3">
      <c r="A50" s="25"/>
      <c r="B50" s="24" t="s">
        <v>62</v>
      </c>
      <c r="C50" s="24"/>
      <c r="D50" s="22" t="s">
        <v>63</v>
      </c>
      <c r="E50" s="66">
        <v>0</v>
      </c>
      <c r="F50" s="66">
        <v>0</v>
      </c>
      <c r="G50" s="15">
        <v>0</v>
      </c>
      <c r="H50" s="74">
        <f t="shared" si="5"/>
        <v>0</v>
      </c>
    </row>
    <row r="51" spans="1:9" x14ac:dyDescent="0.3">
      <c r="A51" s="25"/>
      <c r="B51" s="24" t="s">
        <v>70</v>
      </c>
      <c r="C51" s="24"/>
      <c r="D51" s="22" t="s">
        <v>34</v>
      </c>
      <c r="E51" s="66">
        <v>2000</v>
      </c>
      <c r="F51" s="66">
        <v>343.75</v>
      </c>
      <c r="G51" s="15">
        <f t="shared" si="10"/>
        <v>17.1875</v>
      </c>
      <c r="H51" s="74">
        <f t="shared" si="5"/>
        <v>0.3821592604109354</v>
      </c>
    </row>
    <row r="52" spans="1:9" x14ac:dyDescent="0.3">
      <c r="A52" s="25"/>
      <c r="B52" s="24" t="s">
        <v>71</v>
      </c>
      <c r="C52" s="24"/>
      <c r="D52" s="22" t="s">
        <v>35</v>
      </c>
      <c r="E52" s="66">
        <v>2000</v>
      </c>
      <c r="F52" s="66">
        <v>2880.91</v>
      </c>
      <c r="G52" s="15">
        <f t="shared" si="10"/>
        <v>144.04549999999998</v>
      </c>
      <c r="H52" s="74">
        <f t="shared" si="5"/>
        <v>3.2028114470122699</v>
      </c>
    </row>
    <row r="53" spans="1:9" x14ac:dyDescent="0.3">
      <c r="A53" s="25"/>
      <c r="B53" s="24" t="s">
        <v>72</v>
      </c>
      <c r="C53" s="24"/>
      <c r="D53" s="22" t="s">
        <v>36</v>
      </c>
      <c r="E53" s="23">
        <v>1000</v>
      </c>
      <c r="F53" s="23">
        <v>65</v>
      </c>
      <c r="G53" s="15">
        <f t="shared" si="10"/>
        <v>6.5</v>
      </c>
      <c r="H53" s="74">
        <f t="shared" si="5"/>
        <v>7.2262841968613239E-2</v>
      </c>
    </row>
    <row r="54" spans="1:9" x14ac:dyDescent="0.3">
      <c r="A54" s="25"/>
      <c r="B54" s="24" t="s">
        <v>85</v>
      </c>
      <c r="C54" s="24"/>
      <c r="D54" s="22" t="s">
        <v>64</v>
      </c>
      <c r="E54" s="23">
        <v>2000</v>
      </c>
      <c r="F54" s="23">
        <v>0</v>
      </c>
      <c r="G54" s="15">
        <v>0</v>
      </c>
      <c r="H54" s="74">
        <f t="shared" si="5"/>
        <v>0</v>
      </c>
    </row>
    <row r="55" spans="1:9" x14ac:dyDescent="0.3">
      <c r="A55" s="62"/>
      <c r="B55" s="38"/>
      <c r="C55" s="38"/>
      <c r="D55" s="26" t="s">
        <v>37</v>
      </c>
      <c r="E55" s="64">
        <f>SUM(E50:E54)</f>
        <v>7000</v>
      </c>
      <c r="F55" s="64">
        <f>SUM(F50:F54)</f>
        <v>3289.66</v>
      </c>
      <c r="G55" s="64">
        <f t="shared" si="10"/>
        <v>46.995142857142859</v>
      </c>
      <c r="H55" s="28">
        <f t="shared" si="5"/>
        <v>3.6572335493918189</v>
      </c>
    </row>
    <row r="56" spans="1:9" ht="29.1" customHeight="1" x14ac:dyDescent="0.3">
      <c r="A56" s="43" t="s">
        <v>9</v>
      </c>
      <c r="B56" s="43"/>
      <c r="C56" s="43"/>
      <c r="D56" s="43" t="s">
        <v>38</v>
      </c>
      <c r="E56" s="44">
        <f>SUM(E57:E61)</f>
        <v>5200</v>
      </c>
      <c r="F56" s="44">
        <f>SUM(F65)</f>
        <v>0</v>
      </c>
      <c r="G56" s="4">
        <f t="shared" si="10"/>
        <v>0</v>
      </c>
      <c r="H56" s="5">
        <f t="shared" si="5"/>
        <v>0</v>
      </c>
    </row>
    <row r="57" spans="1:9" x14ac:dyDescent="0.3">
      <c r="A57" s="22"/>
      <c r="B57" s="24" t="s">
        <v>11</v>
      </c>
      <c r="C57" s="24"/>
      <c r="D57" s="22" t="s">
        <v>39</v>
      </c>
      <c r="E57" s="66">
        <v>0</v>
      </c>
      <c r="F57" s="66">
        <v>0</v>
      </c>
      <c r="G57" s="15">
        <v>0</v>
      </c>
      <c r="H57" s="74">
        <f t="shared" si="5"/>
        <v>0</v>
      </c>
    </row>
    <row r="58" spans="1:9" x14ac:dyDescent="0.3">
      <c r="A58" s="22"/>
      <c r="B58" s="24" t="s">
        <v>73</v>
      </c>
      <c r="C58" s="24"/>
      <c r="D58" s="22" t="s">
        <v>99</v>
      </c>
      <c r="E58" s="66">
        <f>SUM(E59:E60)</f>
        <v>1100</v>
      </c>
      <c r="F58" s="66">
        <f>SUM(F59:F60)</f>
        <v>0</v>
      </c>
      <c r="G58" s="15">
        <v>0</v>
      </c>
      <c r="H58" s="74">
        <f t="shared" si="5"/>
        <v>0</v>
      </c>
      <c r="I58" s="41"/>
    </row>
    <row r="59" spans="1:9" x14ac:dyDescent="0.3">
      <c r="A59" s="22"/>
      <c r="B59" s="24"/>
      <c r="C59" s="24" t="s">
        <v>114</v>
      </c>
      <c r="D59" s="24" t="s">
        <v>113</v>
      </c>
      <c r="E59" s="9">
        <v>1000</v>
      </c>
      <c r="F59" s="9">
        <v>0</v>
      </c>
      <c r="G59" s="15">
        <v>0</v>
      </c>
      <c r="H59" s="74">
        <f t="shared" si="5"/>
        <v>0</v>
      </c>
      <c r="I59" s="41"/>
    </row>
    <row r="60" spans="1:9" ht="41.4" x14ac:dyDescent="0.3">
      <c r="A60" s="22"/>
      <c r="B60" s="24"/>
      <c r="C60" s="24" t="s">
        <v>115</v>
      </c>
      <c r="D60" s="24" t="s">
        <v>100</v>
      </c>
      <c r="E60" s="15">
        <v>100</v>
      </c>
      <c r="F60" s="15">
        <v>0</v>
      </c>
      <c r="G60" s="15">
        <v>0</v>
      </c>
      <c r="H60" s="74">
        <f t="shared" si="5"/>
        <v>0</v>
      </c>
      <c r="I60" s="41"/>
    </row>
    <row r="61" spans="1:9" x14ac:dyDescent="0.3">
      <c r="A61" s="22"/>
      <c r="B61" s="24" t="s">
        <v>77</v>
      </c>
      <c r="C61" s="24"/>
      <c r="D61" s="22" t="s">
        <v>40</v>
      </c>
      <c r="E61" s="66">
        <f>SUM(E62:E64)</f>
        <v>3000</v>
      </c>
      <c r="F61" s="66">
        <f>SUM(F62:F64)</f>
        <v>0</v>
      </c>
      <c r="G61" s="15">
        <f t="shared" si="10"/>
        <v>0</v>
      </c>
      <c r="H61" s="74">
        <f t="shared" si="5"/>
        <v>0</v>
      </c>
    </row>
    <row r="62" spans="1:9" x14ac:dyDescent="0.3">
      <c r="A62" s="22"/>
      <c r="B62" s="63"/>
      <c r="C62" s="63" t="s">
        <v>74</v>
      </c>
      <c r="D62" s="24" t="s">
        <v>65</v>
      </c>
      <c r="E62" s="9">
        <v>1000</v>
      </c>
      <c r="F62" s="9">
        <v>0</v>
      </c>
      <c r="G62" s="15">
        <f t="shared" si="10"/>
        <v>0</v>
      </c>
      <c r="H62" s="74">
        <f t="shared" si="5"/>
        <v>0</v>
      </c>
    </row>
    <row r="63" spans="1:9" x14ac:dyDescent="0.3">
      <c r="A63" s="22"/>
      <c r="B63" s="24"/>
      <c r="C63" s="24" t="s">
        <v>75</v>
      </c>
      <c r="D63" s="24" t="s">
        <v>66</v>
      </c>
      <c r="E63" s="9">
        <v>1000</v>
      </c>
      <c r="F63" s="9">
        <v>0</v>
      </c>
      <c r="G63" s="15">
        <f t="shared" si="10"/>
        <v>0</v>
      </c>
      <c r="H63" s="74">
        <f t="shared" si="5"/>
        <v>0</v>
      </c>
    </row>
    <row r="64" spans="1:9" x14ac:dyDescent="0.3">
      <c r="A64" s="22"/>
      <c r="B64" s="24"/>
      <c r="C64" s="24" t="s">
        <v>76</v>
      </c>
      <c r="D64" s="24" t="s">
        <v>67</v>
      </c>
      <c r="E64" s="15">
        <v>1000</v>
      </c>
      <c r="F64" s="15">
        <v>0</v>
      </c>
      <c r="G64" s="15">
        <f t="shared" si="10"/>
        <v>0</v>
      </c>
      <c r="H64" s="74">
        <f t="shared" si="5"/>
        <v>0</v>
      </c>
    </row>
    <row r="65" spans="1:9" x14ac:dyDescent="0.3">
      <c r="A65" s="38"/>
      <c r="B65" s="26"/>
      <c r="C65" s="26"/>
      <c r="D65" s="26" t="s">
        <v>41</v>
      </c>
      <c r="E65" s="27">
        <f>SUM(E57,E58,E61)</f>
        <v>4100</v>
      </c>
      <c r="F65" s="27">
        <f>SUM(F57,F58,F61)</f>
        <v>0</v>
      </c>
      <c r="G65" s="64">
        <f t="shared" ref="G65" si="11">SUM(F65/E65*100)</f>
        <v>0</v>
      </c>
      <c r="H65" s="28">
        <f t="shared" si="5"/>
        <v>0</v>
      </c>
    </row>
    <row r="66" spans="1:9" x14ac:dyDescent="0.3">
      <c r="A66" s="57" t="s">
        <v>12</v>
      </c>
      <c r="B66" s="57"/>
      <c r="C66" s="57"/>
      <c r="D66" s="57" t="s">
        <v>83</v>
      </c>
      <c r="E66" s="71">
        <f>SUM(E69)</f>
        <v>50</v>
      </c>
      <c r="F66" s="71">
        <f>SUM(F69)</f>
        <v>26.54</v>
      </c>
      <c r="G66" s="4">
        <v>0</v>
      </c>
      <c r="H66" s="5">
        <f t="shared" si="5"/>
        <v>2.9505474243799932E-2</v>
      </c>
    </row>
    <row r="67" spans="1:9" x14ac:dyDescent="0.3">
      <c r="A67" s="22"/>
      <c r="B67" s="22" t="s">
        <v>101</v>
      </c>
      <c r="C67" s="22"/>
      <c r="D67" s="22" t="s">
        <v>103</v>
      </c>
      <c r="E67" s="42">
        <f>SUM(E68)</f>
        <v>50</v>
      </c>
      <c r="F67" s="42">
        <f>SUM(F68)</f>
        <v>26.54</v>
      </c>
      <c r="G67" s="73">
        <v>0</v>
      </c>
      <c r="H67" s="74">
        <f t="shared" si="5"/>
        <v>2.9505474243799932E-2</v>
      </c>
    </row>
    <row r="68" spans="1:9" x14ac:dyDescent="0.3">
      <c r="A68" s="24"/>
      <c r="B68" s="24"/>
      <c r="C68" s="24" t="s">
        <v>102</v>
      </c>
      <c r="D68" s="24" t="s">
        <v>104</v>
      </c>
      <c r="E68" s="15">
        <v>50</v>
      </c>
      <c r="F68" s="15">
        <v>26.54</v>
      </c>
      <c r="G68" s="76">
        <v>0</v>
      </c>
      <c r="H68" s="74">
        <f t="shared" si="5"/>
        <v>2.9505474243799932E-2</v>
      </c>
    </row>
    <row r="69" spans="1:9" ht="27.6" x14ac:dyDescent="0.3">
      <c r="A69" s="38"/>
      <c r="B69" s="26"/>
      <c r="C69" s="26"/>
      <c r="D69" s="26" t="s">
        <v>84</v>
      </c>
      <c r="E69" s="27">
        <f>SUM(E67)</f>
        <v>50</v>
      </c>
      <c r="F69" s="27">
        <f>SUM(F67)</f>
        <v>26.54</v>
      </c>
      <c r="G69" s="64">
        <v>0</v>
      </c>
      <c r="H69" s="28">
        <f t="shared" si="5"/>
        <v>2.9505474243799932E-2</v>
      </c>
    </row>
    <row r="70" spans="1:9" x14ac:dyDescent="0.3">
      <c r="A70" s="1" t="s">
        <v>14</v>
      </c>
      <c r="B70" s="1"/>
      <c r="C70" s="1"/>
      <c r="D70" s="43" t="s">
        <v>42</v>
      </c>
      <c r="E70" s="4">
        <f>SUM(E71:E72)</f>
        <v>27000</v>
      </c>
      <c r="F70" s="4">
        <f>SUM(F73)</f>
        <v>23000.93</v>
      </c>
      <c r="G70" s="4">
        <f t="shared" ref="G70" si="12">SUM(F70/E70*100)</f>
        <v>85.188629629629631</v>
      </c>
      <c r="H70" s="5">
        <f t="shared" si="5"/>
        <v>25.570962611094387</v>
      </c>
    </row>
    <row r="71" spans="1:9" x14ac:dyDescent="0.3">
      <c r="A71" s="37"/>
      <c r="B71" s="37" t="s">
        <v>43</v>
      </c>
      <c r="C71" s="37"/>
      <c r="D71" s="55" t="s">
        <v>68</v>
      </c>
      <c r="E71" s="67">
        <v>20000</v>
      </c>
      <c r="F71" s="67">
        <v>20181.78</v>
      </c>
      <c r="G71" s="76">
        <v>0</v>
      </c>
      <c r="H71" s="74">
        <f t="shared" si="5"/>
        <v>22.436811981312605</v>
      </c>
      <c r="I71" s="41"/>
    </row>
    <row r="72" spans="1:9" x14ac:dyDescent="0.3">
      <c r="A72" s="37"/>
      <c r="B72" s="37" t="s">
        <v>78</v>
      </c>
      <c r="C72" s="37"/>
      <c r="D72" s="55" t="s">
        <v>69</v>
      </c>
      <c r="E72" s="67">
        <v>7000</v>
      </c>
      <c r="F72" s="67">
        <v>2819.15</v>
      </c>
      <c r="G72" s="76">
        <v>0</v>
      </c>
      <c r="H72" s="74">
        <f t="shared" si="5"/>
        <v>3.1341506297817854</v>
      </c>
    </row>
    <row r="73" spans="1:9" x14ac:dyDescent="0.3">
      <c r="A73" s="26"/>
      <c r="B73" s="26"/>
      <c r="C73" s="26"/>
      <c r="D73" s="26" t="s">
        <v>44</v>
      </c>
      <c r="E73" s="64">
        <f>SUM(E71,E72)</f>
        <v>27000</v>
      </c>
      <c r="F73" s="64">
        <f>SUM(F71:F72)</f>
        <v>23000.93</v>
      </c>
      <c r="G73" s="64">
        <f t="shared" ref="G73" si="13">SUM(F73/E73*100)</f>
        <v>85.188629629629631</v>
      </c>
      <c r="H73" s="28">
        <f t="shared" si="5"/>
        <v>25.570962611094387</v>
      </c>
    </row>
    <row r="74" spans="1:9" x14ac:dyDescent="0.3">
      <c r="A74" s="1" t="s">
        <v>16</v>
      </c>
      <c r="B74" s="1"/>
      <c r="C74" s="1"/>
      <c r="D74" s="1" t="s">
        <v>45</v>
      </c>
      <c r="E74" s="29">
        <v>1600</v>
      </c>
      <c r="F74" s="29">
        <v>4850</v>
      </c>
      <c r="G74" s="4">
        <f t="shared" ref="G74" si="14">SUM(F74/E74*100)</f>
        <v>303.125</v>
      </c>
      <c r="H74" s="5">
        <f t="shared" si="5"/>
        <v>5.391919746888834</v>
      </c>
    </row>
    <row r="75" spans="1:9" x14ac:dyDescent="0.3">
      <c r="A75" s="1" t="s">
        <v>107</v>
      </c>
      <c r="B75" s="1"/>
      <c r="C75" s="1"/>
      <c r="D75" s="1" t="s">
        <v>108</v>
      </c>
      <c r="E75" s="29">
        <v>0</v>
      </c>
      <c r="F75" s="29">
        <v>0</v>
      </c>
      <c r="G75" s="4">
        <v>0</v>
      </c>
      <c r="H75" s="5">
        <v>0</v>
      </c>
    </row>
    <row r="76" spans="1:9" ht="18" x14ac:dyDescent="0.3">
      <c r="A76" s="93" t="s">
        <v>46</v>
      </c>
      <c r="B76" s="93"/>
      <c r="C76" s="47"/>
      <c r="D76" s="40" t="s">
        <v>79</v>
      </c>
      <c r="E76" s="39">
        <f>SUM(E73,E65,E55,E48,E28,E74)</f>
        <v>118600</v>
      </c>
      <c r="F76" s="39">
        <f>SUM(F73,F69,F65,F55,F48,F28,F74)</f>
        <v>89949.41</v>
      </c>
      <c r="G76" s="68">
        <f>SUM(F76/E76*100)</f>
        <v>75.842672849915687</v>
      </c>
      <c r="H76" s="51">
        <f>SUM(H69,H73,H65,H55,H48,H28,H74)</f>
        <v>99.999999999999986</v>
      </c>
    </row>
  </sheetData>
  <mergeCells count="5">
    <mergeCell ref="A20:B20"/>
    <mergeCell ref="A76:B76"/>
    <mergeCell ref="A2:B2"/>
    <mergeCell ref="A23:B23"/>
    <mergeCell ref="A1:E1"/>
  </mergeCells>
  <pageMargins left="0.7" right="0.7" top="0.75" bottom="0.75" header="0.3" footer="0.3"/>
  <pageSetup paperSize="9" scale="80" fitToHeight="0" orientation="portrait" horizontalDpi="300" verticalDpi="300" r:id="rId1"/>
  <ignoredErrors>
    <ignoredError sqref="A3 A6 A9 A12 A16:A17 A14" numberStoredAsText="1"/>
    <ignoredError sqref="E2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6EFB-33A1-499E-AF57-BEE02C8E8620}">
  <dimension ref="A1:Q11"/>
  <sheetViews>
    <sheetView workbookViewId="0">
      <selection activeCell="B9" sqref="B9"/>
    </sheetView>
  </sheetViews>
  <sheetFormatPr defaultRowHeight="14.4" x14ac:dyDescent="0.3"/>
  <sheetData>
    <row r="1" spans="1:17" x14ac:dyDescent="0.3">
      <c r="O1" t="s">
        <v>126</v>
      </c>
      <c r="P1" t="s">
        <v>128</v>
      </c>
    </row>
    <row r="2" spans="1:17" ht="15.6" x14ac:dyDescent="0.3">
      <c r="A2" s="3" t="s">
        <v>1</v>
      </c>
      <c r="B2" s="7" t="s">
        <v>86</v>
      </c>
      <c r="C2" s="7" t="s">
        <v>87</v>
      </c>
      <c r="D2" s="3" t="s">
        <v>5</v>
      </c>
      <c r="E2" s="11" t="s">
        <v>6</v>
      </c>
      <c r="F2" s="77" t="s">
        <v>109</v>
      </c>
      <c r="G2" s="14" t="s">
        <v>7</v>
      </c>
      <c r="H2" s="77" t="s">
        <v>62</v>
      </c>
      <c r="I2" s="77" t="s">
        <v>70</v>
      </c>
      <c r="J2" s="14" t="s">
        <v>9</v>
      </c>
      <c r="K2" s="77" t="s">
        <v>11</v>
      </c>
      <c r="L2" s="14" t="s">
        <v>12</v>
      </c>
      <c r="M2" s="14" t="s">
        <v>14</v>
      </c>
      <c r="N2" s="14" t="s">
        <v>16</v>
      </c>
      <c r="O2" s="81" t="s">
        <v>125</v>
      </c>
      <c r="P2" s="92"/>
      <c r="Q2" s="92"/>
    </row>
    <row r="3" spans="1:17" x14ac:dyDescent="0.3">
      <c r="B3">
        <v>3662.7</v>
      </c>
      <c r="C3">
        <v>1501.23</v>
      </c>
      <c r="E3">
        <v>12000</v>
      </c>
      <c r="F3">
        <v>2400</v>
      </c>
      <c r="H3">
        <v>13048</v>
      </c>
      <c r="L3">
        <v>780</v>
      </c>
      <c r="O3">
        <v>0.52</v>
      </c>
      <c r="P3" t="s">
        <v>127</v>
      </c>
    </row>
    <row r="4" spans="1:17" x14ac:dyDescent="0.3">
      <c r="B4">
        <v>33.659999999999997</v>
      </c>
      <c r="C4">
        <v>2.94</v>
      </c>
      <c r="E4">
        <v>2000</v>
      </c>
      <c r="F4">
        <v>7336</v>
      </c>
      <c r="H4">
        <v>6524</v>
      </c>
      <c r="O4">
        <v>0.69</v>
      </c>
      <c r="P4">
        <v>500</v>
      </c>
    </row>
    <row r="5" spans="1:17" x14ac:dyDescent="0.3">
      <c r="B5">
        <v>38.450000000000003</v>
      </c>
      <c r="C5">
        <v>29.67</v>
      </c>
      <c r="E5">
        <v>5000</v>
      </c>
      <c r="F5">
        <v>1834</v>
      </c>
      <c r="H5">
        <v>2796</v>
      </c>
    </row>
    <row r="6" spans="1:17" x14ac:dyDescent="0.3">
      <c r="B6">
        <v>86.53</v>
      </c>
      <c r="C6">
        <v>68</v>
      </c>
      <c r="E6">
        <v>4000</v>
      </c>
      <c r="F6">
        <v>600</v>
      </c>
      <c r="H6">
        <v>5592</v>
      </c>
    </row>
    <row r="7" spans="1:17" x14ac:dyDescent="0.3">
      <c r="B7">
        <v>13.01</v>
      </c>
      <c r="C7">
        <v>25.48</v>
      </c>
      <c r="E7" s="83">
        <f>SUM(E3:E6)</f>
        <v>23000</v>
      </c>
      <c r="F7" s="83">
        <f>SUM(F3:F6)</f>
        <v>12170</v>
      </c>
      <c r="G7" s="83"/>
      <c r="H7" s="83">
        <f>SUM(H3:H6)</f>
        <v>27960</v>
      </c>
      <c r="I7" s="83"/>
      <c r="J7" s="83"/>
      <c r="K7" s="83"/>
      <c r="L7" s="83">
        <f>SUM(L3:L6)</f>
        <v>780</v>
      </c>
      <c r="M7" s="83"/>
      <c r="N7" s="83"/>
      <c r="O7" s="83">
        <f>SUM(O3:O6)</f>
        <v>1.21</v>
      </c>
      <c r="P7" s="83">
        <f>SUM(P4:P6)</f>
        <v>500</v>
      </c>
    </row>
    <row r="8" spans="1:17" x14ac:dyDescent="0.3">
      <c r="B8">
        <v>99.82</v>
      </c>
      <c r="C8">
        <v>46.2</v>
      </c>
    </row>
    <row r="9" spans="1:17" x14ac:dyDescent="0.3">
      <c r="B9" s="83">
        <f>SUM(B3:B8)</f>
        <v>3934.17</v>
      </c>
      <c r="C9">
        <v>7.12</v>
      </c>
    </row>
    <row r="10" spans="1:17" x14ac:dyDescent="0.3">
      <c r="C10">
        <v>4.21</v>
      </c>
    </row>
    <row r="11" spans="1:17" x14ac:dyDescent="0.3">
      <c r="C11" s="83">
        <f>SUM(C3:C10)</f>
        <v>1684.8500000000001</v>
      </c>
    </row>
  </sheetData>
  <mergeCells count="1">
    <mergeCell ref="P2:Q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BFD7A-B466-4F83-90EF-9041AB8F3DD9}">
  <dimension ref="A1:C2"/>
  <sheetViews>
    <sheetView workbookViewId="0">
      <selection activeCell="B2" sqref="B2"/>
    </sheetView>
  </sheetViews>
  <sheetFormatPr defaultRowHeight="14.4" x14ac:dyDescent="0.3"/>
  <sheetData>
    <row r="1" spans="1:3" x14ac:dyDescent="0.3">
      <c r="A1" s="22" t="s">
        <v>86</v>
      </c>
      <c r="B1" s="22" t="s">
        <v>87</v>
      </c>
      <c r="C1" s="22" t="s">
        <v>21</v>
      </c>
    </row>
    <row r="2" spans="1:3" x14ac:dyDescent="0.3">
      <c r="B2" s="83">
        <v>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A08B2-D3ED-4FE5-8BD5-72D984817D63}">
  <dimension ref="A1:S14"/>
  <sheetViews>
    <sheetView workbookViewId="0">
      <selection activeCell="S15" sqref="S15"/>
    </sheetView>
  </sheetViews>
  <sheetFormatPr defaultRowHeight="14.4" x14ac:dyDescent="0.3"/>
  <sheetData>
    <row r="1" spans="1:19" x14ac:dyDescent="0.3">
      <c r="A1" s="43" t="s">
        <v>24</v>
      </c>
      <c r="B1" s="30" t="s">
        <v>6</v>
      </c>
      <c r="C1" s="30" t="s">
        <v>109</v>
      </c>
      <c r="D1" s="32" t="s">
        <v>27</v>
      </c>
      <c r="E1" s="53" t="s">
        <v>29</v>
      </c>
      <c r="F1" s="54" t="s">
        <v>30</v>
      </c>
      <c r="G1" s="31" t="s">
        <v>57</v>
      </c>
      <c r="H1" s="31" t="s">
        <v>58</v>
      </c>
      <c r="I1" s="31" t="s">
        <v>59</v>
      </c>
      <c r="J1" s="31" t="s">
        <v>60</v>
      </c>
      <c r="K1" s="31" t="s">
        <v>112</v>
      </c>
      <c r="L1" s="31" t="s">
        <v>88</v>
      </c>
      <c r="M1" s="31" t="s">
        <v>90</v>
      </c>
      <c r="N1" s="31" t="s">
        <v>96</v>
      </c>
      <c r="O1" s="31" t="s">
        <v>97</v>
      </c>
      <c r="P1" s="31" t="s">
        <v>98</v>
      </c>
      <c r="Q1" s="32" t="s">
        <v>31</v>
      </c>
      <c r="R1" s="31" t="s">
        <v>119</v>
      </c>
      <c r="S1" s="82" t="s">
        <v>129</v>
      </c>
    </row>
    <row r="2" spans="1:19" x14ac:dyDescent="0.3">
      <c r="E2">
        <v>21445.57</v>
      </c>
      <c r="F2">
        <v>16034.3</v>
      </c>
      <c r="G2">
        <v>411.25</v>
      </c>
      <c r="H2">
        <v>360</v>
      </c>
      <c r="I2">
        <v>456.97</v>
      </c>
      <c r="J2">
        <v>910</v>
      </c>
      <c r="L2">
        <v>933.2</v>
      </c>
      <c r="N2">
        <v>180</v>
      </c>
      <c r="P2">
        <v>1000</v>
      </c>
      <c r="R2">
        <v>292.5</v>
      </c>
      <c r="S2">
        <v>500</v>
      </c>
    </row>
    <row r="3" spans="1:19" x14ac:dyDescent="0.3">
      <c r="F3">
        <f>162.12+23.5+4.46+13.37+200+36.91</f>
        <v>440.36</v>
      </c>
      <c r="I3">
        <v>291.60000000000002</v>
      </c>
      <c r="J3">
        <v>2175</v>
      </c>
    </row>
    <row r="4" spans="1:19" x14ac:dyDescent="0.3">
      <c r="F4">
        <f>13.37+1500+58.74+58.74+19.58+54.84+31.33</f>
        <v>1736.5999999999997</v>
      </c>
      <c r="I4">
        <v>250</v>
      </c>
      <c r="J4">
        <v>39.99</v>
      </c>
    </row>
    <row r="5" spans="1:19" x14ac:dyDescent="0.3">
      <c r="F5">
        <f>0.01+0.03+0.09</f>
        <v>0.13</v>
      </c>
      <c r="I5">
        <v>376</v>
      </c>
      <c r="J5">
        <v>220</v>
      </c>
    </row>
    <row r="6" spans="1:19" x14ac:dyDescent="0.3">
      <c r="F6">
        <f>97.95+32.65+97.95+1500+235.08+0.003</f>
        <v>1963.6329999999998</v>
      </c>
      <c r="J6">
        <v>400</v>
      </c>
    </row>
    <row r="7" spans="1:19" x14ac:dyDescent="0.3">
      <c r="F7">
        <v>1200</v>
      </c>
      <c r="J7">
        <v>1518.3</v>
      </c>
    </row>
    <row r="8" spans="1:19" x14ac:dyDescent="0.3">
      <c r="F8">
        <v>228.79</v>
      </c>
      <c r="J8">
        <v>900</v>
      </c>
    </row>
    <row r="9" spans="1:19" x14ac:dyDescent="0.3">
      <c r="F9">
        <v>604.78</v>
      </c>
      <c r="J9">
        <v>750</v>
      </c>
    </row>
    <row r="10" spans="1:19" x14ac:dyDescent="0.3">
      <c r="F10">
        <v>20.51</v>
      </c>
      <c r="J10">
        <v>267.85000000000002</v>
      </c>
    </row>
    <row r="11" spans="1:19" x14ac:dyDescent="0.3">
      <c r="F11">
        <f>657.59+1209.19</f>
        <v>1866.7800000000002</v>
      </c>
      <c r="J11">
        <v>115.17</v>
      </c>
    </row>
    <row r="12" spans="1:19" x14ac:dyDescent="0.3">
      <c r="F12">
        <v>468.95</v>
      </c>
      <c r="J12">
        <v>104</v>
      </c>
    </row>
    <row r="13" spans="1:19" x14ac:dyDescent="0.3">
      <c r="F13">
        <v>220.35</v>
      </c>
    </row>
    <row r="14" spans="1:19" x14ac:dyDescent="0.3">
      <c r="E14" s="83">
        <f>SUM(E2:E13)</f>
        <v>21445.57</v>
      </c>
      <c r="F14" s="83">
        <f>SUM(F2:F13)</f>
        <v>24785.182999999997</v>
      </c>
      <c r="G14" s="83">
        <f>SUM(G2)</f>
        <v>411.25</v>
      </c>
      <c r="H14" s="83">
        <f>SUM(H2)</f>
        <v>360</v>
      </c>
      <c r="I14" s="83">
        <f>SUM(I2:I5)</f>
        <v>1374.5700000000002</v>
      </c>
      <c r="J14" s="83">
        <f>SUM(J2:J12)</f>
        <v>7400.31</v>
      </c>
      <c r="K14" s="83"/>
      <c r="L14" s="83">
        <f>SUM(L2:L13)</f>
        <v>933.2</v>
      </c>
      <c r="M14" s="83"/>
      <c r="N14" s="83">
        <f>SUM(N2:N13)</f>
        <v>180</v>
      </c>
      <c r="O14" s="83"/>
      <c r="P14" s="83">
        <f>SUM(P2:P13)</f>
        <v>1000</v>
      </c>
      <c r="Q14" s="83"/>
      <c r="R14" s="83">
        <f>SUM(R2:R13)</f>
        <v>292.5</v>
      </c>
      <c r="S14" s="83">
        <f>SUM(S2:S13)</f>
        <v>500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4E29B-93EA-4F77-98F3-875CBE7E865D}">
  <dimension ref="A1:F5"/>
  <sheetViews>
    <sheetView workbookViewId="0">
      <selection activeCell="D6" sqref="D6"/>
    </sheetView>
  </sheetViews>
  <sheetFormatPr defaultRowHeight="14.4" x14ac:dyDescent="0.3"/>
  <sheetData>
    <row r="1" spans="1:6" x14ac:dyDescent="0.3">
      <c r="A1" s="56" t="s">
        <v>7</v>
      </c>
      <c r="B1" s="24" t="s">
        <v>62</v>
      </c>
      <c r="C1" s="24" t="s">
        <v>70</v>
      </c>
      <c r="D1" s="24" t="s">
        <v>71</v>
      </c>
      <c r="E1" s="24" t="s">
        <v>72</v>
      </c>
      <c r="F1" s="24" t="s">
        <v>85</v>
      </c>
    </row>
    <row r="2" spans="1:6" x14ac:dyDescent="0.3">
      <c r="C2" s="83">
        <v>343.75</v>
      </c>
      <c r="D2">
        <v>2000</v>
      </c>
      <c r="E2" s="83">
        <v>65</v>
      </c>
    </row>
    <row r="3" spans="1:6" x14ac:dyDescent="0.3">
      <c r="D3">
        <v>680.91</v>
      </c>
    </row>
    <row r="4" spans="1:6" x14ac:dyDescent="0.3">
      <c r="D4">
        <v>200</v>
      </c>
    </row>
    <row r="5" spans="1:6" x14ac:dyDescent="0.3">
      <c r="D5" s="83">
        <f>SUM(D2:D4)</f>
        <v>2880.91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28139-3F8F-4944-91AC-92401EE8DD19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8837-097C-4A75-8E4B-4B1D9F03E1E8}">
  <dimension ref="A1:A2"/>
  <sheetViews>
    <sheetView workbookViewId="0">
      <selection activeCell="A2" sqref="A2"/>
    </sheetView>
  </sheetViews>
  <sheetFormatPr defaultRowHeight="14.4" x14ac:dyDescent="0.3"/>
  <sheetData>
    <row r="1" spans="1:1" x14ac:dyDescent="0.3">
      <c r="A1" t="s">
        <v>102</v>
      </c>
    </row>
    <row r="2" spans="1:1" x14ac:dyDescent="0.3">
      <c r="A2" s="83">
        <v>26.54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B37A8-77F8-4163-81CA-518512B40ADB}">
  <dimension ref="A1:C24"/>
  <sheetViews>
    <sheetView workbookViewId="0">
      <selection activeCell="C13" activeCellId="1" sqref="B16 C13"/>
    </sheetView>
  </sheetViews>
  <sheetFormatPr defaultRowHeight="14.4" x14ac:dyDescent="0.3"/>
  <sheetData>
    <row r="1" spans="1:3" x14ac:dyDescent="0.3">
      <c r="A1" s="1" t="s">
        <v>14</v>
      </c>
      <c r="B1" s="37" t="s">
        <v>43</v>
      </c>
      <c r="C1" s="37" t="s">
        <v>78</v>
      </c>
    </row>
    <row r="2" spans="1:3" x14ac:dyDescent="0.3">
      <c r="B2" s="6">
        <v>7239.56</v>
      </c>
      <c r="C2">
        <v>1788.68</v>
      </c>
    </row>
    <row r="3" spans="1:3" x14ac:dyDescent="0.3">
      <c r="B3" s="80">
        <f>1089.9+229.14+208.31+69.44+21.1</f>
        <v>1617.8899999999999</v>
      </c>
      <c r="C3">
        <v>17.600000000000001</v>
      </c>
    </row>
    <row r="4" spans="1:3" x14ac:dyDescent="0.3">
      <c r="B4">
        <f>1089.9+69.44+229.14+208.31+21.1</f>
        <v>1617.8899999999999</v>
      </c>
      <c r="C4">
        <v>22.91</v>
      </c>
    </row>
    <row r="5" spans="1:3" x14ac:dyDescent="0.3">
      <c r="B5">
        <f>1089.9+208.31+21.1+69.44+229.14</f>
        <v>1617.8899999999999</v>
      </c>
      <c r="C5">
        <v>175.5</v>
      </c>
    </row>
    <row r="6" spans="1:3" x14ac:dyDescent="0.3">
      <c r="B6">
        <v>655</v>
      </c>
      <c r="C6">
        <v>303.52999999999997</v>
      </c>
    </row>
    <row r="7" spans="1:3" x14ac:dyDescent="0.3">
      <c r="B7">
        <v>49</v>
      </c>
      <c r="C7">
        <v>13.52</v>
      </c>
    </row>
    <row r="8" spans="1:3" x14ac:dyDescent="0.3">
      <c r="B8">
        <v>50</v>
      </c>
      <c r="C8">
        <v>311.98</v>
      </c>
    </row>
    <row r="9" spans="1:3" x14ac:dyDescent="0.3">
      <c r="B9">
        <f>21.1+208.31+229.14+1089.9+69.44</f>
        <v>1617.89</v>
      </c>
      <c r="C9">
        <v>70</v>
      </c>
    </row>
    <row r="10" spans="1:3" x14ac:dyDescent="0.3">
      <c r="B10">
        <v>536</v>
      </c>
      <c r="C10">
        <v>19.489999999999998</v>
      </c>
    </row>
    <row r="11" spans="1:3" x14ac:dyDescent="0.3">
      <c r="B11">
        <f>208.31+229.14+1089.9+21.1+69.44</f>
        <v>1617.89</v>
      </c>
      <c r="C11">
        <v>26.3</v>
      </c>
    </row>
    <row r="12" spans="1:3" x14ac:dyDescent="0.3">
      <c r="B12">
        <v>247</v>
      </c>
      <c r="C12">
        <v>70</v>
      </c>
    </row>
    <row r="13" spans="1:3" x14ac:dyDescent="0.3">
      <c r="B13">
        <v>1617.89</v>
      </c>
      <c r="C13" s="83">
        <f>SUM(C2:C12)</f>
        <v>2819.51</v>
      </c>
    </row>
    <row r="14" spans="1:3" x14ac:dyDescent="0.3">
      <c r="B14">
        <v>80</v>
      </c>
    </row>
    <row r="15" spans="1:3" x14ac:dyDescent="0.3">
      <c r="B15">
        <v>1617.89</v>
      </c>
    </row>
    <row r="16" spans="1:3" x14ac:dyDescent="0.3">
      <c r="B16" s="84">
        <f>SUM(B2:B15)</f>
        <v>20181.789999999997</v>
      </c>
    </row>
    <row r="18" spans="2:2" ht="15" customHeight="1" x14ac:dyDescent="0.3"/>
    <row r="24" spans="2:2" x14ac:dyDescent="0.3">
      <c r="B24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E79F8-2B00-4012-BFC7-5B1AEEA2C424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Rebalans 2025</vt:lpstr>
      <vt:lpstr>prihodi</vt:lpstr>
      <vt:lpstr>istraživanje</vt:lpstr>
      <vt:lpstr>proizvod</vt:lpstr>
      <vt:lpstr>oglašavanje</vt:lpstr>
      <vt:lpstr>menadžment</vt:lpstr>
      <vt:lpstr>članstvo</vt:lpstr>
      <vt:lpstr>administrativni poslovi</vt:lpstr>
      <vt:lpstr>rezerva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TZOBZ</dc:creator>
  <cp:lastModifiedBy>Filip Golubov</cp:lastModifiedBy>
  <cp:lastPrinted>2024-12-20T00:23:58Z</cp:lastPrinted>
  <dcterms:created xsi:type="dcterms:W3CDTF">2021-11-29T09:36:06Z</dcterms:created>
  <dcterms:modified xsi:type="dcterms:W3CDTF">2025-12-05T11:39:19Z</dcterms:modified>
</cp:coreProperties>
</file>